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 tabRatio="603" firstSheet="7" activeTab="7"/>
  </bookViews>
  <sheets>
    <sheet name="明细" sheetId="13" state="hidden" r:id="rId1"/>
    <sheet name="明细 (3.4)" sheetId="15" state="hidden" r:id="rId2"/>
    <sheet name="明细 (3.4) (打印)" sheetId="16" state="hidden" r:id="rId3"/>
    <sheet name="明细 (3.5) (打印) " sheetId="17" state="hidden" r:id="rId4"/>
    <sheet name="明细 (4.8)" sheetId="18" state="hidden" r:id="rId5"/>
    <sheet name="明细 (4.8) (2)" sheetId="19" state="hidden" r:id="rId6"/>
    <sheet name="明细（4.14）-去雨水" sheetId="20" state="hidden" r:id="rId7"/>
    <sheet name="明细初设" sheetId="21" r:id="rId8"/>
  </sheets>
  <definedNames>
    <definedName name="_xlnm.Print_Area" localSheetId="6">'明细（4.14）-去雨水'!$A$1:$J$56</definedName>
    <definedName name="_xlnm.Print_Area" localSheetId="7">明细初设!$A$1:$J$41</definedName>
    <definedName name="_xlnm.Print_Titles" localSheetId="0">明细!$1:$3</definedName>
    <definedName name="_xlnm.Print_Titles" localSheetId="1">'明细 (3.4)'!$1:$3</definedName>
    <definedName name="_xlnm.Print_Titles" localSheetId="2">'明细 (3.4) (打印)'!$1:$3</definedName>
    <definedName name="_xlnm.Print_Titles" localSheetId="3">'明细 (3.5) (打印) '!$1:$3</definedName>
    <definedName name="_xlnm.Print_Titles" localSheetId="4">'明细 (4.8)'!$1:$3</definedName>
    <definedName name="_xlnm.Print_Titles" localSheetId="5">'明细 (4.8) (2)'!$1:$3</definedName>
    <definedName name="_xlnm.Print_Titles" localSheetId="6">'明细（4.14）-去雨水'!$1:$3</definedName>
    <definedName name="_xlnm.Print_Titles" localSheetId="7">明细初设!$1:$3</definedName>
  </definedNames>
  <calcPr calcId="144525" concurrentCalc="0"/>
</workbook>
</file>

<file path=xl/sharedStrings.xml><?xml version="1.0" encoding="utf-8"?>
<sst xmlns="http://schemas.openxmlformats.org/spreadsheetml/2006/main" count="132">
  <si>
    <t>投   资   概   算    表</t>
  </si>
  <si>
    <t>序号</t>
  </si>
  <si>
    <t>工程或费用名称</t>
  </si>
  <si>
    <t xml:space="preserve"> 概  算  金  额（万元）</t>
  </si>
  <si>
    <t>技术经济指标（元）</t>
  </si>
  <si>
    <t>土建工程费</t>
  </si>
  <si>
    <t>设备购置费</t>
  </si>
  <si>
    <t>安装工程费</t>
  </si>
  <si>
    <t>其它费用</t>
  </si>
  <si>
    <t>合计</t>
  </si>
  <si>
    <t>单位</t>
  </si>
  <si>
    <t>数量</t>
  </si>
  <si>
    <t>指标</t>
  </si>
  <si>
    <t>一</t>
  </si>
  <si>
    <t>工程费用</t>
  </si>
  <si>
    <t>万元</t>
  </si>
  <si>
    <t>道路工程</t>
  </si>
  <si>
    <t>挖方及外运</t>
  </si>
  <si>
    <t>m3</t>
  </si>
  <si>
    <t>换填砂砾及翻压土方</t>
  </si>
  <si>
    <t>机动车道</t>
  </si>
  <si>
    <t>㎡</t>
  </si>
  <si>
    <t>路缘石（花岗岩）</t>
  </si>
  <si>
    <t>m</t>
  </si>
  <si>
    <t>恢复机动车道结构层59cm</t>
  </si>
  <si>
    <t>m2</t>
  </si>
  <si>
    <t>交通标线（非热熔）</t>
  </si>
  <si>
    <t>分隔护栏</t>
  </si>
  <si>
    <t>拆除路缘石</t>
  </si>
  <si>
    <t>铣刨沥青面层</t>
  </si>
  <si>
    <t>水稳层刨铣拆除</t>
  </si>
  <si>
    <t>标志标牌</t>
  </si>
  <si>
    <t>套</t>
  </si>
  <si>
    <t>小计</t>
  </si>
  <si>
    <t>沟渠改迁</t>
  </si>
  <si>
    <t>改移退水沟</t>
  </si>
  <si>
    <t>沟摆整平</t>
  </si>
  <si>
    <t>沟坡修整</t>
  </si>
  <si>
    <t>改移涵洞</t>
  </si>
  <si>
    <t>座</t>
  </si>
  <si>
    <t>改移集水坑及泵站</t>
  </si>
  <si>
    <t>雨水及污水工程</t>
  </si>
  <si>
    <t>II级钢筋混凝土管DN200</t>
  </si>
  <si>
    <t>II级钢筋混凝土管DN300</t>
  </si>
  <si>
    <t>II级钢筋混凝土管DN400</t>
  </si>
  <si>
    <t>II级钢筋混凝土管DN600</t>
  </si>
  <si>
    <t>矩形混凝土排水检查井1100*1100</t>
  </si>
  <si>
    <t>矩形混凝土排水沉泥井1100*1100</t>
  </si>
  <si>
    <t>倒虹吸井2000*2000</t>
  </si>
  <si>
    <t>单篦双箅雨水口</t>
  </si>
  <si>
    <t>个</t>
  </si>
  <si>
    <t>顶管DN200</t>
  </si>
  <si>
    <t>顶管DN400</t>
  </si>
  <si>
    <t>II级钢筋混凝土管DN500</t>
  </si>
  <si>
    <t>矩形混凝土排水检查井1400*1100</t>
  </si>
  <si>
    <t>给水工程</t>
  </si>
  <si>
    <t>聚乙烯给水塑料管De160</t>
  </si>
  <si>
    <t>聚乙烯给水塑料管De225</t>
  </si>
  <si>
    <t>给水阀门井1400*2800</t>
  </si>
  <si>
    <t>室外消火栓井1400*1400</t>
  </si>
  <si>
    <t>原有井室及给水管道拆除</t>
  </si>
  <si>
    <t>路灯工程</t>
  </si>
  <si>
    <t>盏</t>
  </si>
  <si>
    <t>二</t>
  </si>
  <si>
    <t>工程建设其它费用</t>
  </si>
  <si>
    <t>工程监理费</t>
  </si>
  <si>
    <t>编制财务竣工决算</t>
  </si>
  <si>
    <t>地质勘察费</t>
  </si>
  <si>
    <t>土地测绘测量费</t>
  </si>
  <si>
    <t>设计费（含控制价编制费）</t>
  </si>
  <si>
    <t>施工图审查费</t>
  </si>
  <si>
    <t>环境影响评价费</t>
  </si>
  <si>
    <t>水土保持方案编制</t>
  </si>
  <si>
    <t>规划验收费</t>
  </si>
  <si>
    <t>招投标代理服务费</t>
  </si>
  <si>
    <t>征地拆迁</t>
  </si>
  <si>
    <t>三</t>
  </si>
  <si>
    <t>预备费</t>
  </si>
  <si>
    <t>四</t>
  </si>
  <si>
    <t>项目总投资</t>
  </si>
  <si>
    <t>五</t>
  </si>
  <si>
    <t>投资比(%)</t>
  </si>
  <si>
    <t>shan</t>
  </si>
  <si>
    <t>38m改600</t>
  </si>
  <si>
    <t>改800</t>
  </si>
  <si>
    <t>改4</t>
  </si>
  <si>
    <t>II级钢筋混凝土管DN800</t>
  </si>
  <si>
    <t>给水阀门井圆1800</t>
  </si>
  <si>
    <t>雨水工程</t>
  </si>
  <si>
    <t>矩形混凝土雨水检查井1100*1100</t>
  </si>
  <si>
    <t>矩形混凝土雨水沉泥井1100*1100</t>
  </si>
  <si>
    <t>污水工程</t>
  </si>
  <si>
    <t>矩形混凝土污水检查井1400*1100</t>
  </si>
  <si>
    <r>
      <rPr>
        <sz val="12"/>
        <rFont val="宋体"/>
        <charset val="134"/>
      </rPr>
      <t>室外消火栓井Φ1</t>
    </r>
    <r>
      <rPr>
        <sz val="12"/>
        <rFont val="宋体"/>
        <charset val="134"/>
      </rPr>
      <t>500</t>
    </r>
  </si>
  <si>
    <t>竣工结算编制费</t>
  </si>
  <si>
    <t>招投标代理费</t>
  </si>
  <si>
    <t>投   资   概   算   表</t>
  </si>
  <si>
    <t>开挖沟道土方</t>
  </si>
  <si>
    <t>填方（买土）</t>
  </si>
  <si>
    <t>土建
工程费</t>
  </si>
  <si>
    <t>设备
购置费</t>
  </si>
  <si>
    <t>安装
工程费</t>
  </si>
  <si>
    <t>其它
费用</t>
  </si>
  <si>
    <t>垃圾堆体修整</t>
  </si>
  <si>
    <t>填垃圾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</si>
  <si>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</si>
  <si>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挖垃圾</t>
  </si>
  <si>
    <t>填渣土</t>
  </si>
  <si>
    <t>堆体平整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</si>
  <si>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2</t>
    </r>
  </si>
  <si>
    <t>覆土</t>
  </si>
  <si>
    <t>封场覆盖系统</t>
  </si>
  <si>
    <t>地表水导排系统</t>
  </si>
  <si>
    <t>气体收集系统</t>
  </si>
  <si>
    <t>生态恢复系统</t>
  </si>
  <si>
    <t>生态恢复（林木）</t>
  </si>
  <si>
    <t>封场维护系统</t>
  </si>
  <si>
    <t>地下水监测井</t>
  </si>
  <si>
    <t>气体迁移监测井</t>
  </si>
  <si>
    <t>监测设备</t>
  </si>
  <si>
    <t>项</t>
  </si>
  <si>
    <t>附属设施</t>
  </si>
  <si>
    <t>环场道路硬化</t>
  </si>
  <si>
    <t>标志牌</t>
  </si>
  <si>
    <t>蓄水池（100立方含潜污泵）</t>
  </si>
  <si>
    <t>管理用房</t>
  </si>
  <si>
    <t>2m高围栏</t>
  </si>
  <si>
    <t>设计费</t>
  </si>
  <si>
    <t>清单控制价编制费</t>
  </si>
  <si>
    <t>环境评价编制费</t>
  </si>
  <si>
    <t>水土保持费</t>
  </si>
  <si>
    <t>总投资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</si>
</sst>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);[Red]\(0.0000\)"/>
    <numFmt numFmtId="177" formatCode="0_);[Red]\(0\)"/>
    <numFmt numFmtId="178" formatCode="0.00_);[Red]\(0.00\)"/>
    <numFmt numFmtId="179" formatCode="0.0_);[Red]\(0.0\)"/>
    <numFmt numFmtId="180" formatCode="0.00_ "/>
    <numFmt numFmtId="181" formatCode="0_);\(0\)"/>
    <numFmt numFmtId="182" formatCode="0.000_);[Red]\(0.000\)"/>
    <numFmt numFmtId="183" formatCode="0.0%"/>
  </numFmts>
  <fonts count="33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2"/>
      <name val="Times New Roman"/>
      <charset val="0"/>
    </font>
    <font>
      <sz val="12"/>
      <name val="Times New Roman"/>
      <charset val="0"/>
    </font>
    <font>
      <sz val="18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rgb="FFFF0000"/>
      <name val="宋体"/>
      <charset val="134"/>
    </font>
    <font>
      <b/>
      <sz val="2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vertAlign val="superscript"/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0" fillId="0" borderId="0"/>
  </cellStyleXfs>
  <cellXfs count="134">
    <xf numFmtId="0" fontId="0" fillId="0" borderId="0" xfId="0"/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left" vertical="center"/>
    </xf>
    <xf numFmtId="178" fontId="7" fillId="0" borderId="5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80" fontId="6" fillId="0" borderId="7" xfId="50" applyNumberFormat="1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5" xfId="50" applyFont="1" applyFill="1" applyBorder="1" applyAlignment="1">
      <alignment horizontal="left" vertical="center" wrapText="1"/>
    </xf>
    <xf numFmtId="180" fontId="8" fillId="0" borderId="5" xfId="5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left" vertical="center" wrapText="1"/>
    </xf>
    <xf numFmtId="178" fontId="6" fillId="0" borderId="5" xfId="0" applyNumberFormat="1" applyFont="1" applyFill="1" applyBorder="1" applyAlignment="1">
      <alignment horizontal="left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180" fontId="9" fillId="0" borderId="5" xfId="50" applyNumberFormat="1" applyFont="1" applyFill="1" applyBorder="1" applyAlignment="1">
      <alignment horizontal="center" vertical="center"/>
    </xf>
    <xf numFmtId="0" fontId="7" fillId="0" borderId="7" xfId="50" applyFont="1" applyFill="1" applyBorder="1" applyAlignment="1">
      <alignment horizontal="center" vertical="center" wrapText="1"/>
    </xf>
    <xf numFmtId="181" fontId="7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left" vertical="center"/>
    </xf>
    <xf numFmtId="178" fontId="6" fillId="0" borderId="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left" vertical="center"/>
    </xf>
    <xf numFmtId="2" fontId="6" fillId="0" borderId="5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0" fontId="0" fillId="0" borderId="0" xfId="11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/>
    <xf numFmtId="178" fontId="0" fillId="0" borderId="0" xfId="0" applyNumberFormat="1" applyFont="1" applyFill="1" applyBorder="1"/>
    <xf numFmtId="178" fontId="10" fillId="0" borderId="0" xfId="0" applyNumberFormat="1" applyFont="1" applyFill="1" applyBorder="1"/>
    <xf numFmtId="178" fontId="1" fillId="0" borderId="0" xfId="0" applyNumberFormat="1" applyFont="1" applyFill="1"/>
    <xf numFmtId="178" fontId="3" fillId="0" borderId="0" xfId="0" applyNumberFormat="1" applyFont="1" applyFill="1"/>
    <xf numFmtId="0" fontId="0" fillId="0" borderId="0" xfId="0" applyFont="1" applyFill="1"/>
    <xf numFmtId="178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/>
    <xf numFmtId="177" fontId="11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left" vertical="center"/>
    </xf>
    <xf numFmtId="178" fontId="1" fillId="0" borderId="5" xfId="0" applyNumberFormat="1" applyFont="1" applyFill="1" applyBorder="1" applyAlignment="1">
      <alignment horizontal="right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left"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8" xfId="0" applyNumberFormat="1" applyFont="1" applyFill="1" applyBorder="1" applyAlignment="1">
      <alignment horizontal="right" vertical="center"/>
    </xf>
    <xf numFmtId="178" fontId="1" fillId="0" borderId="3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left" vertical="center" wrapText="1"/>
    </xf>
    <xf numFmtId="178" fontId="1" fillId="0" borderId="3" xfId="0" applyNumberFormat="1" applyFont="1" applyFill="1" applyBorder="1" applyAlignment="1">
      <alignment horizontal="left" vertical="center" wrapText="1"/>
    </xf>
    <xf numFmtId="181" fontId="1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horizontal="left" vertical="center"/>
    </xf>
    <xf numFmtId="178" fontId="0" fillId="0" borderId="5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182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83" fontId="1" fillId="0" borderId="5" xfId="11" applyNumberFormat="1" applyFont="1" applyFill="1" applyBorder="1" applyAlignment="1">
      <alignment horizontal="right" vertical="center"/>
    </xf>
    <xf numFmtId="10" fontId="1" fillId="0" borderId="5" xfId="11" applyNumberFormat="1" applyFont="1" applyFill="1" applyBorder="1" applyAlignment="1">
      <alignment horizontal="right" vertical="center"/>
    </xf>
    <xf numFmtId="180" fontId="1" fillId="0" borderId="5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/>
    <xf numFmtId="178" fontId="4" fillId="0" borderId="0" xfId="0" applyNumberFormat="1" applyFont="1" applyFill="1" applyBorder="1" applyAlignment="1">
      <alignment horizontal="right"/>
    </xf>
    <xf numFmtId="178" fontId="0" fillId="0" borderId="5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right" vertical="center"/>
    </xf>
    <xf numFmtId="10" fontId="0" fillId="0" borderId="0" xfId="11" applyNumberFormat="1" applyFont="1" applyFill="1" applyBorder="1" applyAlignment="1"/>
    <xf numFmtId="180" fontId="1" fillId="0" borderId="5" xfId="0" applyNumberFormat="1" applyFont="1" applyFill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right" vertical="center"/>
    </xf>
    <xf numFmtId="180" fontId="1" fillId="0" borderId="5" xfId="0" applyNumberFormat="1" applyFont="1" applyFill="1" applyBorder="1" applyAlignment="1">
      <alignment horizontal="right" vertical="center"/>
    </xf>
    <xf numFmtId="179" fontId="10" fillId="0" borderId="5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left" vertical="center" wrapText="1"/>
    </xf>
    <xf numFmtId="178" fontId="10" fillId="0" borderId="6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left" vertical="center"/>
    </xf>
    <xf numFmtId="178" fontId="10" fillId="0" borderId="5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4" xfId="52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3"/>
  <sheetViews>
    <sheetView zoomScale="85" zoomScaleNormal="85" workbookViewId="0">
      <selection activeCell="G55" sqref="G55"/>
    </sheetView>
  </sheetViews>
  <sheetFormatPr defaultColWidth="9" defaultRowHeight="21" customHeight="1"/>
  <cols>
    <col min="1" max="1" width="7.125" style="67" customWidth="1"/>
    <col min="2" max="2" width="30.75" style="66" customWidth="1"/>
    <col min="3" max="3" width="9" style="66" customWidth="1"/>
    <col min="4" max="4" width="11.25" style="68" customWidth="1"/>
    <col min="5" max="5" width="10.25" style="69" customWidth="1"/>
    <col min="6" max="6" width="8.625" style="70" customWidth="1"/>
    <col min="7" max="7" width="12.375" style="71" customWidth="1"/>
    <col min="8" max="8" width="5.625" style="72" customWidth="1"/>
    <col min="9" max="9" width="10.625" style="66" customWidth="1"/>
    <col min="10" max="10" width="11.125" style="66" customWidth="1"/>
    <col min="11" max="11" width="10.375" style="72"/>
    <col min="12" max="12" width="49.25" style="72" customWidth="1"/>
    <col min="13" max="13" width="9" style="72"/>
    <col min="14" max="14" width="10.375" style="72"/>
    <col min="15" max="15" width="15.125" style="72" customWidth="1"/>
    <col min="16" max="16384" width="9" style="72"/>
  </cols>
  <sheetData>
    <row r="1" ht="60" customHeight="1" spans="1:1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ht="30" customHeight="1" spans="1:10">
      <c r="A2" s="74" t="s">
        <v>1</v>
      </c>
      <c r="B2" s="75" t="s">
        <v>2</v>
      </c>
      <c r="C2" s="76" t="s">
        <v>3</v>
      </c>
      <c r="D2" s="77"/>
      <c r="E2" s="77"/>
      <c r="F2" s="77"/>
      <c r="G2" s="77"/>
      <c r="H2" s="78" t="s">
        <v>4</v>
      </c>
      <c r="I2" s="78"/>
      <c r="J2" s="78"/>
    </row>
    <row r="3" s="59" customFormat="1" ht="30" customHeight="1" spans="1:12">
      <c r="A3" s="79"/>
      <c r="B3" s="80"/>
      <c r="C3" s="78" t="s">
        <v>5</v>
      </c>
      <c r="D3" s="78" t="s">
        <v>6</v>
      </c>
      <c r="E3" s="78" t="s">
        <v>7</v>
      </c>
      <c r="F3" s="78" t="s">
        <v>8</v>
      </c>
      <c r="G3" s="76" t="s">
        <v>9</v>
      </c>
      <c r="H3" s="78" t="s">
        <v>10</v>
      </c>
      <c r="I3" s="78" t="s">
        <v>11</v>
      </c>
      <c r="J3" s="78" t="s">
        <v>12</v>
      </c>
      <c r="L3" s="59">
        <f>SUM(G6:G16)</f>
        <v>147.764</v>
      </c>
    </row>
    <row r="4" s="60" customFormat="1" ht="30" customHeight="1" spans="1:10">
      <c r="A4" s="81" t="s">
        <v>13</v>
      </c>
      <c r="B4" s="82" t="s">
        <v>14</v>
      </c>
      <c r="C4" s="83">
        <f>C5+C18+C25+C42+C49</f>
        <v>267.45144</v>
      </c>
      <c r="D4" s="83"/>
      <c r="E4" s="83">
        <v>1.45</v>
      </c>
      <c r="F4" s="83"/>
      <c r="G4" s="83">
        <f>SUM(G5,G18,G25,G42,G49,G50)</f>
        <v>268.90144</v>
      </c>
      <c r="H4" s="84" t="s">
        <v>15</v>
      </c>
      <c r="I4" s="84"/>
      <c r="J4" s="84"/>
    </row>
    <row r="5" s="60" customFormat="1" ht="30" customHeight="1" spans="1:10">
      <c r="A5" s="81">
        <v>1</v>
      </c>
      <c r="B5" s="85" t="s">
        <v>16</v>
      </c>
      <c r="C5" s="86">
        <f>C17</f>
        <v>147.764</v>
      </c>
      <c r="D5" s="83"/>
      <c r="E5" s="87"/>
      <c r="F5" s="83"/>
      <c r="G5" s="88">
        <f>G17</f>
        <v>147.764</v>
      </c>
      <c r="H5" s="84" t="s">
        <v>15</v>
      </c>
      <c r="I5" s="84"/>
      <c r="J5" s="84"/>
    </row>
    <row r="6" s="60" customFormat="1" ht="30" customHeight="1" spans="1:10">
      <c r="A6" s="89">
        <v>1.1</v>
      </c>
      <c r="B6" s="90" t="s">
        <v>17</v>
      </c>
      <c r="C6" s="91">
        <f t="shared" ref="C6:C16" si="0">G6</f>
        <v>4.99</v>
      </c>
      <c r="D6" s="83"/>
      <c r="E6" s="87"/>
      <c r="F6" s="83"/>
      <c r="G6" s="92">
        <v>4.99</v>
      </c>
      <c r="H6" s="93" t="s">
        <v>18</v>
      </c>
      <c r="I6" s="93">
        <v>1438.3</v>
      </c>
      <c r="J6" s="116">
        <f>G6/I6*10000</f>
        <v>34.6937356601544</v>
      </c>
    </row>
    <row r="7" s="61" customFormat="1" ht="30" customHeight="1" spans="1:10">
      <c r="A7" s="89">
        <v>1.2</v>
      </c>
      <c r="B7" s="90" t="s">
        <v>19</v>
      </c>
      <c r="C7" s="91">
        <f t="shared" si="0"/>
        <v>15.44</v>
      </c>
      <c r="D7" s="83"/>
      <c r="E7" s="87"/>
      <c r="F7" s="83"/>
      <c r="G7" s="92">
        <v>15.44</v>
      </c>
      <c r="H7" s="93" t="s">
        <v>18</v>
      </c>
      <c r="I7" s="93">
        <f>74.1+780+1000</f>
        <v>1854.1</v>
      </c>
      <c r="J7" s="116">
        <f>G7/I7*10000</f>
        <v>83.2749042662208</v>
      </c>
    </row>
    <row r="8" s="61" customFormat="1" ht="30" customHeight="1" spans="1:10">
      <c r="A8" s="89">
        <v>1.3</v>
      </c>
      <c r="B8" s="96" t="s">
        <v>20</v>
      </c>
      <c r="C8" s="91">
        <f t="shared" si="0"/>
        <v>68.23</v>
      </c>
      <c r="D8" s="94"/>
      <c r="E8" s="95"/>
      <c r="F8" s="94"/>
      <c r="G8" s="92">
        <v>68.23</v>
      </c>
      <c r="H8" s="93" t="s">
        <v>21</v>
      </c>
      <c r="I8" s="93"/>
      <c r="J8" s="116"/>
    </row>
    <row r="9" s="61" customFormat="1" ht="30" customHeight="1" spans="1:10">
      <c r="A9" s="89">
        <v>1.4</v>
      </c>
      <c r="B9" s="96" t="s">
        <v>22</v>
      </c>
      <c r="C9" s="91">
        <f t="shared" si="0"/>
        <v>8.34</v>
      </c>
      <c r="D9" s="94"/>
      <c r="E9" s="95"/>
      <c r="F9" s="94"/>
      <c r="G9" s="92">
        <v>8.34</v>
      </c>
      <c r="H9" s="93" t="s">
        <v>23</v>
      </c>
      <c r="I9" s="93">
        <v>593</v>
      </c>
      <c r="J9" s="116">
        <f>G9/I9*10000</f>
        <v>140.640809443508</v>
      </c>
    </row>
    <row r="10" s="61" customFormat="1" ht="30" customHeight="1" spans="1:10">
      <c r="A10" s="89">
        <v>1.5</v>
      </c>
      <c r="B10" s="96" t="s">
        <v>24</v>
      </c>
      <c r="C10" s="91">
        <f t="shared" si="0"/>
        <v>30.72</v>
      </c>
      <c r="D10" s="94"/>
      <c r="E10" s="95"/>
      <c r="F10" s="94"/>
      <c r="G10" s="92">
        <v>30.72</v>
      </c>
      <c r="H10" s="93" t="s">
        <v>25</v>
      </c>
      <c r="I10" s="93">
        <v>1255</v>
      </c>
      <c r="J10" s="116">
        <f>G10/I10*10000</f>
        <v>244.780876494024</v>
      </c>
    </row>
    <row r="11" s="61" customFormat="1" ht="30" customHeight="1" spans="1:10">
      <c r="A11" s="89">
        <v>1.6</v>
      </c>
      <c r="B11" s="90" t="s">
        <v>26</v>
      </c>
      <c r="C11" s="91">
        <f t="shared" si="0"/>
        <v>2.504</v>
      </c>
      <c r="D11" s="94"/>
      <c r="E11" s="95"/>
      <c r="F11" s="94"/>
      <c r="G11" s="92">
        <f>I11*J11/10000</f>
        <v>2.504</v>
      </c>
      <c r="H11" s="93" t="s">
        <v>21</v>
      </c>
      <c r="I11" s="93">
        <v>313</v>
      </c>
      <c r="J11" s="93">
        <v>80</v>
      </c>
    </row>
    <row r="12" s="61" customFormat="1" ht="30" customHeight="1" spans="1:10">
      <c r="A12" s="89">
        <v>1.7</v>
      </c>
      <c r="B12" s="96" t="s">
        <v>27</v>
      </c>
      <c r="C12" s="91">
        <f t="shared" si="0"/>
        <v>4.88</v>
      </c>
      <c r="D12" s="94"/>
      <c r="E12" s="95"/>
      <c r="F12" s="94"/>
      <c r="G12" s="92">
        <f>I12*J12/10000</f>
        <v>4.88</v>
      </c>
      <c r="H12" s="93" t="s">
        <v>23</v>
      </c>
      <c r="I12" s="93">
        <v>244</v>
      </c>
      <c r="J12" s="116">
        <v>200</v>
      </c>
    </row>
    <row r="13" s="61" customFormat="1" ht="30" customHeight="1" spans="1:10">
      <c r="A13" s="89">
        <v>1.8</v>
      </c>
      <c r="B13" s="96" t="s">
        <v>28</v>
      </c>
      <c r="C13" s="91">
        <f t="shared" si="0"/>
        <v>0.29</v>
      </c>
      <c r="D13" s="94"/>
      <c r="E13" s="95"/>
      <c r="F13" s="94"/>
      <c r="G13" s="92">
        <v>0.29</v>
      </c>
      <c r="H13" s="93" t="s">
        <v>23</v>
      </c>
      <c r="I13" s="93">
        <v>593</v>
      </c>
      <c r="J13" s="116">
        <f>G13/I13*10000</f>
        <v>4.89038785834739</v>
      </c>
    </row>
    <row r="14" s="61" customFormat="1" ht="30" customHeight="1" spans="1:10">
      <c r="A14" s="89">
        <v>1.9</v>
      </c>
      <c r="B14" s="96" t="s">
        <v>29</v>
      </c>
      <c r="C14" s="91">
        <f t="shared" si="0"/>
        <v>9.56</v>
      </c>
      <c r="D14" s="94"/>
      <c r="E14" s="95"/>
      <c r="F14" s="94"/>
      <c r="G14" s="92">
        <v>9.56</v>
      </c>
      <c r="H14" s="93" t="s">
        <v>25</v>
      </c>
      <c r="I14" s="93">
        <f>1211+381.5</f>
        <v>1592.5</v>
      </c>
      <c r="J14" s="116">
        <f>G14/I14*10000</f>
        <v>60.0313971742543</v>
      </c>
    </row>
    <row r="15" s="61" customFormat="1" ht="30" customHeight="1" spans="1:10">
      <c r="A15" s="93">
        <v>1.1</v>
      </c>
      <c r="B15" s="96" t="s">
        <v>30</v>
      </c>
      <c r="C15" s="91">
        <f t="shared" si="0"/>
        <v>0.53</v>
      </c>
      <c r="D15" s="94"/>
      <c r="E15" s="95"/>
      <c r="F15" s="94"/>
      <c r="G15" s="92">
        <v>0.53</v>
      </c>
      <c r="H15" s="93" t="s">
        <v>25</v>
      </c>
      <c r="I15" s="93">
        <v>178</v>
      </c>
      <c r="J15" s="116">
        <f>G15/I15*10000</f>
        <v>29.7752808988764</v>
      </c>
    </row>
    <row r="16" s="61" customFormat="1" ht="30" customHeight="1" spans="1:10">
      <c r="A16" s="93">
        <v>1.11</v>
      </c>
      <c r="B16" s="96" t="s">
        <v>31</v>
      </c>
      <c r="C16" s="91">
        <f t="shared" si="0"/>
        <v>2.28</v>
      </c>
      <c r="D16" s="94"/>
      <c r="E16" s="95"/>
      <c r="F16" s="94"/>
      <c r="G16" s="92">
        <f>I16*J16/10000</f>
        <v>2.28</v>
      </c>
      <c r="H16" s="93" t="s">
        <v>32</v>
      </c>
      <c r="I16" s="93">
        <v>6</v>
      </c>
      <c r="J16" s="116">
        <v>3800</v>
      </c>
    </row>
    <row r="17" s="61" customFormat="1" ht="30" customHeight="1" spans="1:10">
      <c r="A17" s="93"/>
      <c r="B17" s="96" t="s">
        <v>33</v>
      </c>
      <c r="C17" s="91">
        <f>SUM(C6:C16)</f>
        <v>147.764</v>
      </c>
      <c r="D17" s="94"/>
      <c r="E17" s="95"/>
      <c r="F17" s="94"/>
      <c r="G17" s="92">
        <f>SUM(G6:G16)</f>
        <v>147.764</v>
      </c>
      <c r="H17" s="93" t="s">
        <v>15</v>
      </c>
      <c r="I17" s="93"/>
      <c r="J17" s="116"/>
    </row>
    <row r="18" s="60" customFormat="1" ht="30" customHeight="1" spans="1:12">
      <c r="A18" s="81">
        <v>2</v>
      </c>
      <c r="B18" s="85" t="s">
        <v>34</v>
      </c>
      <c r="C18" s="86">
        <f>C24</f>
        <v>25.13744</v>
      </c>
      <c r="D18" s="83"/>
      <c r="E18" s="87"/>
      <c r="F18" s="83"/>
      <c r="G18" s="88">
        <f>G24</f>
        <v>25.13744</v>
      </c>
      <c r="H18" s="84"/>
      <c r="I18" s="84"/>
      <c r="J18" s="117"/>
      <c r="L18" s="60">
        <f>SUM(G19:G23)</f>
        <v>25.13744</v>
      </c>
    </row>
    <row r="19" s="61" customFormat="1" ht="30" customHeight="1" spans="1:10">
      <c r="A19" s="89">
        <v>2.1</v>
      </c>
      <c r="B19" s="96" t="s">
        <v>35</v>
      </c>
      <c r="C19" s="91">
        <f>G19</f>
        <v>7.31744</v>
      </c>
      <c r="D19" s="94"/>
      <c r="E19" s="95"/>
      <c r="F19" s="94"/>
      <c r="G19" s="92">
        <f>I19*J19/10000</f>
        <v>7.31744</v>
      </c>
      <c r="H19" s="93" t="s">
        <v>18</v>
      </c>
      <c r="I19" s="93">
        <v>17.59</v>
      </c>
      <c r="J19" s="116">
        <v>4160</v>
      </c>
    </row>
    <row r="20" s="61" customFormat="1" ht="30" customHeight="1" spans="1:10">
      <c r="A20" s="89">
        <v>2.2</v>
      </c>
      <c r="B20" s="96" t="s">
        <v>36</v>
      </c>
      <c r="C20" s="91">
        <f>G20</f>
        <v>4.16</v>
      </c>
      <c r="D20" s="94"/>
      <c r="E20" s="95"/>
      <c r="F20" s="94"/>
      <c r="G20" s="92">
        <f>I20*J20/10000</f>
        <v>4.16</v>
      </c>
      <c r="H20" s="93" t="s">
        <v>18</v>
      </c>
      <c r="I20" s="93">
        <v>10</v>
      </c>
      <c r="J20" s="116">
        <v>4160</v>
      </c>
    </row>
    <row r="21" s="61" customFormat="1" ht="30" customHeight="1" spans="1:10">
      <c r="A21" s="89">
        <v>2.3</v>
      </c>
      <c r="B21" s="96" t="s">
        <v>37</v>
      </c>
      <c r="C21" s="91">
        <f>G21</f>
        <v>4.16</v>
      </c>
      <c r="D21" s="94"/>
      <c r="E21" s="95"/>
      <c r="F21" s="94"/>
      <c r="G21" s="92">
        <f>I21*J21/10000</f>
        <v>4.16</v>
      </c>
      <c r="H21" s="93" t="s">
        <v>18</v>
      </c>
      <c r="I21" s="93">
        <v>10</v>
      </c>
      <c r="J21" s="116">
        <v>4160</v>
      </c>
    </row>
    <row r="22" s="61" customFormat="1" ht="30" customHeight="1" spans="1:10">
      <c r="A22" s="89">
        <v>2.4</v>
      </c>
      <c r="B22" s="96" t="s">
        <v>38</v>
      </c>
      <c r="C22" s="91">
        <f>G22</f>
        <v>8</v>
      </c>
      <c r="D22" s="94"/>
      <c r="E22" s="95"/>
      <c r="F22" s="94"/>
      <c r="G22" s="92">
        <v>8</v>
      </c>
      <c r="H22" s="93" t="s">
        <v>39</v>
      </c>
      <c r="I22" s="93">
        <v>1</v>
      </c>
      <c r="J22" s="116"/>
    </row>
    <row r="23" s="61" customFormat="1" ht="30" customHeight="1" spans="1:10">
      <c r="A23" s="89">
        <v>2.5</v>
      </c>
      <c r="B23" s="96" t="s">
        <v>40</v>
      </c>
      <c r="C23" s="91">
        <f>G23</f>
        <v>1.5</v>
      </c>
      <c r="D23" s="94"/>
      <c r="E23" s="95"/>
      <c r="F23" s="94"/>
      <c r="G23" s="92">
        <v>1.5</v>
      </c>
      <c r="H23" s="93" t="s">
        <v>15</v>
      </c>
      <c r="I23" s="93"/>
      <c r="J23" s="116"/>
    </row>
    <row r="24" s="61" customFormat="1" ht="30" customHeight="1" spans="1:12">
      <c r="A24" s="93"/>
      <c r="B24" s="96" t="s">
        <v>33</v>
      </c>
      <c r="C24" s="91">
        <f>SUM(C19:C23)</f>
        <v>25.13744</v>
      </c>
      <c r="D24" s="94"/>
      <c r="E24" s="95"/>
      <c r="F24" s="94"/>
      <c r="G24" s="92">
        <f>SUM(G19:G23)</f>
        <v>25.13744</v>
      </c>
      <c r="H24" s="93" t="s">
        <v>15</v>
      </c>
      <c r="I24" s="93"/>
      <c r="J24" s="116"/>
      <c r="L24" s="61">
        <f>SUM(L25,L36)</f>
        <v>68.6</v>
      </c>
    </row>
    <row r="25" s="61" customFormat="1" ht="30" customHeight="1" spans="1:12">
      <c r="A25" s="81">
        <v>3</v>
      </c>
      <c r="B25" s="97" t="s">
        <v>41</v>
      </c>
      <c r="C25" s="86">
        <f>C35+C40</f>
        <v>68.6</v>
      </c>
      <c r="D25" s="86"/>
      <c r="E25" s="86"/>
      <c r="F25" s="83"/>
      <c r="G25" s="88">
        <f>C25</f>
        <v>68.6</v>
      </c>
      <c r="H25" s="84" t="s">
        <v>15</v>
      </c>
      <c r="I25" s="84"/>
      <c r="J25" s="116"/>
      <c r="L25" s="61">
        <f>SUM(G26:G34)</f>
        <v>51.37</v>
      </c>
    </row>
    <row r="26" s="61" customFormat="1" ht="30" customHeight="1" spans="1:10">
      <c r="A26" s="89">
        <v>3.1</v>
      </c>
      <c r="B26" s="96" t="s">
        <v>42</v>
      </c>
      <c r="C26" s="91">
        <f t="shared" ref="C26:C34" si="1">G26</f>
        <v>0.98</v>
      </c>
      <c r="D26" s="94"/>
      <c r="E26" s="95"/>
      <c r="F26" s="94"/>
      <c r="G26" s="92">
        <v>0.98</v>
      </c>
      <c r="H26" s="93" t="s">
        <v>23</v>
      </c>
      <c r="I26" s="93">
        <v>15</v>
      </c>
      <c r="J26" s="116">
        <f t="shared" ref="J26:J33" si="2">G26/I26*10000</f>
        <v>653.333333333333</v>
      </c>
    </row>
    <row r="27" s="61" customFormat="1" ht="30" customHeight="1" spans="1:10">
      <c r="A27" s="89">
        <v>3.2</v>
      </c>
      <c r="B27" s="96" t="s">
        <v>43</v>
      </c>
      <c r="C27" s="91">
        <f t="shared" si="1"/>
        <v>6.98</v>
      </c>
      <c r="D27" s="94"/>
      <c r="E27" s="95"/>
      <c r="F27" s="94"/>
      <c r="G27" s="92">
        <v>6.98</v>
      </c>
      <c r="H27" s="93" t="s">
        <v>23</v>
      </c>
      <c r="I27" s="93">
        <v>65</v>
      </c>
      <c r="J27" s="116">
        <f t="shared" si="2"/>
        <v>1073.84615384615</v>
      </c>
    </row>
    <row r="28" s="61" customFormat="1" ht="30" customHeight="1" spans="1:10">
      <c r="A28" s="89">
        <v>3.3</v>
      </c>
      <c r="B28" s="96" t="s">
        <v>44</v>
      </c>
      <c r="C28" s="91">
        <f t="shared" si="1"/>
        <v>8.11</v>
      </c>
      <c r="D28" s="94"/>
      <c r="E28" s="95"/>
      <c r="F28" s="94"/>
      <c r="G28" s="92">
        <v>8.11</v>
      </c>
      <c r="H28" s="93" t="s">
        <v>23</v>
      </c>
      <c r="I28" s="93">
        <v>75</v>
      </c>
      <c r="J28" s="116">
        <f t="shared" si="2"/>
        <v>1081.33333333333</v>
      </c>
    </row>
    <row r="29" s="61" customFormat="1" ht="30" customHeight="1" spans="1:10">
      <c r="A29" s="89">
        <v>3.4</v>
      </c>
      <c r="B29" s="96" t="s">
        <v>45</v>
      </c>
      <c r="C29" s="91">
        <f t="shared" si="1"/>
        <v>27.4</v>
      </c>
      <c r="D29" s="94"/>
      <c r="E29" s="95"/>
      <c r="F29" s="94"/>
      <c r="G29" s="92">
        <v>27.4</v>
      </c>
      <c r="H29" s="93" t="s">
        <v>23</v>
      </c>
      <c r="I29" s="93">
        <v>320</v>
      </c>
      <c r="J29" s="116">
        <f t="shared" si="2"/>
        <v>856.25</v>
      </c>
    </row>
    <row r="30" s="61" customFormat="1" ht="30" customHeight="1" spans="1:10">
      <c r="A30" s="89">
        <v>3.5</v>
      </c>
      <c r="B30" s="90" t="s">
        <v>46</v>
      </c>
      <c r="C30" s="91">
        <f t="shared" si="1"/>
        <v>3.55</v>
      </c>
      <c r="D30" s="91"/>
      <c r="E30" s="91"/>
      <c r="F30" s="94"/>
      <c r="G30" s="92">
        <v>3.55</v>
      </c>
      <c r="H30" s="93" t="s">
        <v>39</v>
      </c>
      <c r="I30" s="93">
        <v>8</v>
      </c>
      <c r="J30" s="93">
        <f t="shared" si="2"/>
        <v>4437.5</v>
      </c>
    </row>
    <row r="31" s="61" customFormat="1" ht="30" customHeight="1" spans="1:10">
      <c r="A31" s="89">
        <v>3.6</v>
      </c>
      <c r="B31" s="90" t="s">
        <v>47</v>
      </c>
      <c r="C31" s="91">
        <f t="shared" si="1"/>
        <v>0.93</v>
      </c>
      <c r="D31" s="91"/>
      <c r="E31" s="91"/>
      <c r="F31" s="94"/>
      <c r="G31" s="92">
        <v>0.93</v>
      </c>
      <c r="H31" s="93" t="s">
        <v>39</v>
      </c>
      <c r="I31" s="93">
        <v>2</v>
      </c>
      <c r="J31" s="93">
        <f t="shared" si="2"/>
        <v>4650</v>
      </c>
    </row>
    <row r="32" s="61" customFormat="1" ht="30" customHeight="1" spans="1:10">
      <c r="A32" s="89">
        <v>3.7</v>
      </c>
      <c r="B32" s="90" t="s">
        <v>48</v>
      </c>
      <c r="C32" s="91">
        <f t="shared" si="1"/>
        <v>1.74</v>
      </c>
      <c r="D32" s="91"/>
      <c r="E32" s="91"/>
      <c r="F32" s="94"/>
      <c r="G32" s="92">
        <v>1.74</v>
      </c>
      <c r="H32" s="93" t="s">
        <v>39</v>
      </c>
      <c r="I32" s="93">
        <v>2</v>
      </c>
      <c r="J32" s="93">
        <f t="shared" si="2"/>
        <v>8700</v>
      </c>
    </row>
    <row r="33" s="61" customFormat="1" ht="30" customHeight="1" spans="1:10">
      <c r="A33" s="89">
        <v>3.8</v>
      </c>
      <c r="B33" s="90" t="s">
        <v>49</v>
      </c>
      <c r="C33" s="91">
        <f t="shared" si="1"/>
        <v>0.88</v>
      </c>
      <c r="D33" s="94"/>
      <c r="E33" s="95"/>
      <c r="F33" s="94"/>
      <c r="G33" s="92">
        <v>0.88</v>
      </c>
      <c r="H33" s="93" t="s">
        <v>50</v>
      </c>
      <c r="I33" s="93">
        <v>6</v>
      </c>
      <c r="J33" s="93">
        <f t="shared" si="2"/>
        <v>1466.66666666667</v>
      </c>
    </row>
    <row r="34" s="61" customFormat="1" ht="30" customHeight="1" spans="1:10">
      <c r="A34" s="89">
        <v>3.9</v>
      </c>
      <c r="B34" s="90" t="s">
        <v>51</v>
      </c>
      <c r="C34" s="91">
        <f t="shared" si="1"/>
        <v>0.8</v>
      </c>
      <c r="D34" s="94"/>
      <c r="E34" s="95"/>
      <c r="F34" s="94"/>
      <c r="G34" s="92">
        <f>I34*J34/10000</f>
        <v>0.8</v>
      </c>
      <c r="H34" s="93" t="s">
        <v>23</v>
      </c>
      <c r="I34" s="93">
        <v>20</v>
      </c>
      <c r="J34" s="93">
        <v>400</v>
      </c>
    </row>
    <row r="35" s="61" customFormat="1" ht="30" customHeight="1" spans="1:10">
      <c r="A35" s="93"/>
      <c r="B35" s="96" t="s">
        <v>33</v>
      </c>
      <c r="C35" s="91">
        <f>SUM(C26:C34)</f>
        <v>51.37</v>
      </c>
      <c r="D35" s="94"/>
      <c r="E35" s="95"/>
      <c r="F35" s="94"/>
      <c r="G35" s="92">
        <f>SUM(G26:G34)</f>
        <v>51.37</v>
      </c>
      <c r="H35" s="93" t="s">
        <v>15</v>
      </c>
      <c r="I35" s="93"/>
      <c r="J35" s="116"/>
    </row>
    <row r="36" s="61" customFormat="1" ht="30" customHeight="1" spans="1:12">
      <c r="A36" s="89">
        <v>3.1</v>
      </c>
      <c r="B36" s="90" t="s">
        <v>52</v>
      </c>
      <c r="C36" s="91">
        <f>G36</f>
        <v>0.36</v>
      </c>
      <c r="D36" s="94"/>
      <c r="E36" s="95"/>
      <c r="F36" s="94"/>
      <c r="G36" s="92">
        <f>I36*J36/10000</f>
        <v>0.36</v>
      </c>
      <c r="H36" s="93" t="s">
        <v>23</v>
      </c>
      <c r="I36" s="93">
        <v>8</v>
      </c>
      <c r="J36" s="93">
        <v>450</v>
      </c>
      <c r="L36" s="61">
        <f>SUM(G36:G39)</f>
        <v>17.23</v>
      </c>
    </row>
    <row r="37" s="61" customFormat="1" ht="30" customHeight="1" spans="1:10">
      <c r="A37" s="89">
        <v>3.2</v>
      </c>
      <c r="B37" s="96" t="s">
        <v>53</v>
      </c>
      <c r="C37" s="91">
        <f>G37</f>
        <v>3.19</v>
      </c>
      <c r="D37" s="94"/>
      <c r="E37" s="95"/>
      <c r="F37" s="94"/>
      <c r="G37" s="92">
        <v>3.19</v>
      </c>
      <c r="H37" s="93" t="s">
        <v>23</v>
      </c>
      <c r="I37" s="93">
        <v>27</v>
      </c>
      <c r="J37" s="116">
        <f>G37/I37*10000</f>
        <v>1181.48148148148</v>
      </c>
    </row>
    <row r="38" s="61" customFormat="1" ht="30" customHeight="1" spans="1:10">
      <c r="A38" s="89">
        <v>3.3</v>
      </c>
      <c r="B38" s="96" t="s">
        <v>45</v>
      </c>
      <c r="C38" s="91">
        <f>G38</f>
        <v>12.38</v>
      </c>
      <c r="D38" s="94"/>
      <c r="E38" s="95"/>
      <c r="F38" s="94"/>
      <c r="G38" s="92">
        <v>12.38</v>
      </c>
      <c r="H38" s="93" t="s">
        <v>23</v>
      </c>
      <c r="I38" s="93">
        <v>90</v>
      </c>
      <c r="J38" s="116">
        <f>G38/I38*10000</f>
        <v>1375.55555555556</v>
      </c>
    </row>
    <row r="39" s="61" customFormat="1" ht="30" customHeight="1" spans="1:10">
      <c r="A39" s="89">
        <v>3.4</v>
      </c>
      <c r="B39" s="90" t="s">
        <v>54</v>
      </c>
      <c r="C39" s="91">
        <f>G39</f>
        <v>1.3</v>
      </c>
      <c r="D39" s="91"/>
      <c r="E39" s="91"/>
      <c r="F39" s="94"/>
      <c r="G39" s="92">
        <v>1.3</v>
      </c>
      <c r="H39" s="93" t="s">
        <v>39</v>
      </c>
      <c r="I39" s="93">
        <v>3</v>
      </c>
      <c r="J39" s="93">
        <f>G39/I39*10000</f>
        <v>4333.33333333333</v>
      </c>
    </row>
    <row r="40" s="61" customFormat="1" ht="30" customHeight="1" spans="1:10">
      <c r="A40" s="93"/>
      <c r="B40" s="96" t="s">
        <v>33</v>
      </c>
      <c r="C40" s="91">
        <f>SUM(C36:C39)</f>
        <v>17.23</v>
      </c>
      <c r="D40" s="91"/>
      <c r="E40" s="91"/>
      <c r="F40" s="94"/>
      <c r="G40" s="92">
        <f>SUM(G36:G39)</f>
        <v>17.23</v>
      </c>
      <c r="H40" s="93" t="s">
        <v>15</v>
      </c>
      <c r="I40" s="93"/>
      <c r="J40" s="116"/>
    </row>
    <row r="41" s="61" customFormat="1" ht="30" customHeight="1" spans="1:10">
      <c r="A41" s="93"/>
      <c r="B41" s="96"/>
      <c r="C41" s="91"/>
      <c r="D41" s="91"/>
      <c r="E41" s="91"/>
      <c r="F41" s="94"/>
      <c r="G41" s="92"/>
      <c r="H41" s="93"/>
      <c r="I41" s="93"/>
      <c r="J41" s="116"/>
    </row>
    <row r="42" s="61" customFormat="1" ht="30" customHeight="1" spans="1:10">
      <c r="A42" s="81">
        <v>5</v>
      </c>
      <c r="B42" s="97" t="s">
        <v>55</v>
      </c>
      <c r="C42" s="86">
        <f>C48</f>
        <v>9.21</v>
      </c>
      <c r="D42" s="86">
        <f>D48</f>
        <v>0</v>
      </c>
      <c r="E42" s="86">
        <f>E48</f>
        <v>1.45</v>
      </c>
      <c r="F42" s="83"/>
      <c r="G42" s="88">
        <f>C42+D42+E42</f>
        <v>10.66</v>
      </c>
      <c r="H42" s="84" t="s">
        <v>15</v>
      </c>
      <c r="I42" s="84"/>
      <c r="J42" s="116"/>
    </row>
    <row r="43" s="62" customFormat="1" ht="30" customHeight="1" spans="1:10">
      <c r="A43" s="89">
        <v>5.1</v>
      </c>
      <c r="B43" s="96" t="s">
        <v>56</v>
      </c>
      <c r="C43" s="91">
        <v>0.13</v>
      </c>
      <c r="D43" s="94"/>
      <c r="E43" s="95">
        <v>0.2</v>
      </c>
      <c r="F43" s="94"/>
      <c r="G43" s="92">
        <f>C43+D43+E43</f>
        <v>0.33</v>
      </c>
      <c r="H43" s="93" t="s">
        <v>23</v>
      </c>
      <c r="I43" s="93">
        <v>5</v>
      </c>
      <c r="J43" s="116">
        <f>G43/I43*10000</f>
        <v>660</v>
      </c>
    </row>
    <row r="44" s="61" customFormat="1" ht="30" customHeight="1" spans="1:10">
      <c r="A44" s="89">
        <v>5.2</v>
      </c>
      <c r="B44" s="96" t="s">
        <v>57</v>
      </c>
      <c r="C44" s="91">
        <v>5.62</v>
      </c>
      <c r="D44" s="94"/>
      <c r="E44" s="95">
        <v>1.25</v>
      </c>
      <c r="F44" s="94"/>
      <c r="G44" s="92">
        <f>C44+D44+E44</f>
        <v>6.87</v>
      </c>
      <c r="H44" s="93" t="s">
        <v>23</v>
      </c>
      <c r="I44" s="93">
        <v>310</v>
      </c>
      <c r="J44" s="116">
        <f>G44/I44*10000</f>
        <v>221.612903225806</v>
      </c>
    </row>
    <row r="45" s="61" customFormat="1" ht="30" customHeight="1" spans="1:10">
      <c r="A45" s="89">
        <v>5.3</v>
      </c>
      <c r="B45" s="90" t="s">
        <v>58</v>
      </c>
      <c r="C45" s="91">
        <f>G45</f>
        <v>0.72</v>
      </c>
      <c r="D45" s="91"/>
      <c r="E45" s="91"/>
      <c r="F45" s="94"/>
      <c r="G45" s="92">
        <v>0.72</v>
      </c>
      <c r="H45" s="93" t="s">
        <v>39</v>
      </c>
      <c r="I45" s="93">
        <v>1</v>
      </c>
      <c r="J45" s="93">
        <f>G45/I45*10000</f>
        <v>7200</v>
      </c>
    </row>
    <row r="46" s="61" customFormat="1" ht="30" customHeight="1" spans="1:10">
      <c r="A46" s="89">
        <v>5.4</v>
      </c>
      <c r="B46" s="90" t="s">
        <v>59</v>
      </c>
      <c r="C46" s="91">
        <f>G46</f>
        <v>0.71</v>
      </c>
      <c r="D46" s="91"/>
      <c r="E46" s="91"/>
      <c r="F46" s="94"/>
      <c r="G46" s="92">
        <v>0.71</v>
      </c>
      <c r="H46" s="93" t="s">
        <v>39</v>
      </c>
      <c r="I46" s="93">
        <v>2</v>
      </c>
      <c r="J46" s="93">
        <f>G46/I46*10000</f>
        <v>3550</v>
      </c>
    </row>
    <row r="47" s="61" customFormat="1" ht="30" customHeight="1" spans="1:10">
      <c r="A47" s="89">
        <v>5.5</v>
      </c>
      <c r="B47" s="90" t="s">
        <v>60</v>
      </c>
      <c r="C47" s="91">
        <f>G47</f>
        <v>2.03</v>
      </c>
      <c r="D47" s="91"/>
      <c r="E47" s="91"/>
      <c r="F47" s="94"/>
      <c r="G47" s="92">
        <v>2.03</v>
      </c>
      <c r="H47" s="93" t="s">
        <v>15</v>
      </c>
      <c r="I47" s="93"/>
      <c r="J47" s="93"/>
    </row>
    <row r="48" s="61" customFormat="1" ht="30" customHeight="1" spans="1:10">
      <c r="A48" s="93"/>
      <c r="B48" s="96" t="s">
        <v>33</v>
      </c>
      <c r="C48" s="91">
        <f>SUM(C43:C47)</f>
        <v>9.21</v>
      </c>
      <c r="D48" s="91">
        <f>SUM(D43:D47)</f>
        <v>0</v>
      </c>
      <c r="E48" s="91">
        <f>SUM(E43:E47)</f>
        <v>1.45</v>
      </c>
      <c r="F48" s="94"/>
      <c r="G48" s="92">
        <f>SUM(G43:G47)</f>
        <v>10.66</v>
      </c>
      <c r="H48" s="93" t="s">
        <v>15</v>
      </c>
      <c r="I48" s="93"/>
      <c r="J48" s="116"/>
    </row>
    <row r="49" s="61" customFormat="1" ht="30" customHeight="1" spans="1:10">
      <c r="A49" s="81">
        <v>6</v>
      </c>
      <c r="B49" s="85" t="s">
        <v>61</v>
      </c>
      <c r="C49" s="86">
        <f>I49*J49/10000</f>
        <v>16.74</v>
      </c>
      <c r="D49" s="86"/>
      <c r="E49" s="86"/>
      <c r="F49" s="83"/>
      <c r="G49" s="88">
        <f>I49*J49/10000</f>
        <v>16.74</v>
      </c>
      <c r="H49" s="84" t="s">
        <v>62</v>
      </c>
      <c r="I49" s="84">
        <v>18</v>
      </c>
      <c r="J49" s="84">
        <v>9300</v>
      </c>
    </row>
    <row r="50" s="60" customFormat="1" ht="30" customHeight="1" spans="1:10">
      <c r="A50" s="81"/>
      <c r="B50" s="85"/>
      <c r="C50" s="86"/>
      <c r="D50" s="86"/>
      <c r="E50" s="86"/>
      <c r="F50" s="83"/>
      <c r="G50" s="88"/>
      <c r="H50" s="84"/>
      <c r="I50" s="84"/>
      <c r="J50" s="117"/>
    </row>
    <row r="51" s="60" customFormat="1" ht="29.1" customHeight="1" spans="1:19">
      <c r="A51" s="98" t="s">
        <v>63</v>
      </c>
      <c r="B51" s="82" t="s">
        <v>64</v>
      </c>
      <c r="C51" s="83">
        <f>C63</f>
        <v>46.3494574266667</v>
      </c>
      <c r="D51" s="83"/>
      <c r="E51" s="83"/>
      <c r="F51" s="83"/>
      <c r="G51" s="88">
        <f>C51</f>
        <v>46.3494574266667</v>
      </c>
      <c r="H51" s="84" t="s">
        <v>15</v>
      </c>
      <c r="I51" s="84"/>
      <c r="J51" s="83"/>
      <c r="M51" s="61"/>
      <c r="N51" s="61"/>
      <c r="O51" s="61"/>
      <c r="P51" s="61"/>
      <c r="Q51" s="61"/>
      <c r="R51" s="61"/>
      <c r="S51" s="61"/>
    </row>
    <row r="52" s="61" customFormat="1" ht="30" customHeight="1" spans="1:13">
      <c r="A52" s="99">
        <v>1</v>
      </c>
      <c r="B52" s="100" t="s">
        <v>65</v>
      </c>
      <c r="C52" s="94">
        <f t="shared" ref="C52:C62" si="3">G52</f>
        <v>4.43685</v>
      </c>
      <c r="D52" s="94"/>
      <c r="E52" s="94"/>
      <c r="F52" s="94"/>
      <c r="G52" s="92">
        <f>I52*0.033*0.5</f>
        <v>4.43685</v>
      </c>
      <c r="H52" s="93" t="s">
        <v>15</v>
      </c>
      <c r="I52" s="93">
        <v>268.9</v>
      </c>
      <c r="J52" s="118">
        <f>G52/I52</f>
        <v>0.0165</v>
      </c>
      <c r="L52" s="60"/>
      <c r="M52" s="60"/>
    </row>
    <row r="53" s="60" customFormat="1" ht="30" customHeight="1" spans="1:21">
      <c r="A53" s="99">
        <v>2</v>
      </c>
      <c r="B53" s="100" t="s">
        <v>66</v>
      </c>
      <c r="C53" s="94">
        <f t="shared" si="3"/>
        <v>0.578135</v>
      </c>
      <c r="D53" s="94"/>
      <c r="E53" s="94"/>
      <c r="F53" s="94"/>
      <c r="G53" s="92">
        <f>I53*0.43%*0.5</f>
        <v>0.578135</v>
      </c>
      <c r="H53" s="93" t="s">
        <v>15</v>
      </c>
      <c r="I53" s="93">
        <f>I52</f>
        <v>268.9</v>
      </c>
      <c r="J53" s="118">
        <f>G53/I53</f>
        <v>0.00215</v>
      </c>
      <c r="N53" s="61"/>
      <c r="O53" s="61"/>
      <c r="P53" s="61"/>
      <c r="Q53" s="61"/>
      <c r="R53" s="61"/>
      <c r="S53" s="61"/>
      <c r="T53" s="61"/>
      <c r="U53" s="61"/>
    </row>
    <row r="54" s="60" customFormat="1" ht="30" customHeight="1" spans="1:21">
      <c r="A54" s="99">
        <v>3</v>
      </c>
      <c r="B54" s="100" t="s">
        <v>67</v>
      </c>
      <c r="C54" s="94">
        <f t="shared" si="3"/>
        <v>0.40335</v>
      </c>
      <c r="D54" s="94"/>
      <c r="E54" s="94"/>
      <c r="F54" s="94"/>
      <c r="G54" s="92">
        <f>I54*J54</f>
        <v>0.40335</v>
      </c>
      <c r="H54" s="93" t="s">
        <v>15</v>
      </c>
      <c r="I54" s="93">
        <f>I52</f>
        <v>268.9</v>
      </c>
      <c r="J54" s="118">
        <v>0.0015</v>
      </c>
      <c r="N54" s="61"/>
      <c r="O54" s="61"/>
      <c r="P54" s="61"/>
      <c r="Q54" s="61"/>
      <c r="R54" s="61"/>
      <c r="S54" s="61"/>
      <c r="T54" s="61"/>
      <c r="U54" s="61"/>
    </row>
    <row r="55" s="60" customFormat="1" ht="30" customHeight="1" spans="1:21">
      <c r="A55" s="99">
        <v>4</v>
      </c>
      <c r="B55" s="100" t="s">
        <v>68</v>
      </c>
      <c r="C55" s="94">
        <f t="shared" si="3"/>
        <v>0.40335</v>
      </c>
      <c r="D55" s="94"/>
      <c r="E55" s="94"/>
      <c r="F55" s="94"/>
      <c r="G55" s="92">
        <f>I55*J55</f>
        <v>0.40335</v>
      </c>
      <c r="H55" s="93" t="s">
        <v>15</v>
      </c>
      <c r="I55" s="93">
        <f>I52</f>
        <v>268.9</v>
      </c>
      <c r="J55" s="118">
        <v>0.0015</v>
      </c>
      <c r="N55" s="61"/>
      <c r="O55" s="61"/>
      <c r="P55" s="61"/>
      <c r="Q55" s="61"/>
      <c r="R55" s="61"/>
      <c r="S55" s="61"/>
      <c r="T55" s="61"/>
      <c r="U55" s="61"/>
    </row>
    <row r="56" s="61" customFormat="1" ht="30" customHeight="1" spans="1:14">
      <c r="A56" s="99">
        <v>5</v>
      </c>
      <c r="B56" s="100" t="s">
        <v>69</v>
      </c>
      <c r="C56" s="94">
        <f t="shared" si="3"/>
        <v>6.94212242666667</v>
      </c>
      <c r="D56" s="94"/>
      <c r="E56" s="94"/>
      <c r="F56" s="94"/>
      <c r="G56" s="92">
        <f>((I56-200)*(20.9-9)/300+9)*0.5+G4*0.0056*0.5/0.7</f>
        <v>6.94212242666667</v>
      </c>
      <c r="H56" s="93" t="s">
        <v>15</v>
      </c>
      <c r="I56" s="93">
        <f>I52</f>
        <v>268.9</v>
      </c>
      <c r="J56" s="118">
        <f>G56/I56</f>
        <v>0.025816743870088</v>
      </c>
      <c r="L56" s="60"/>
      <c r="M56" s="60"/>
      <c r="N56" s="119"/>
    </row>
    <row r="57" s="61" customFormat="1" ht="30" customHeight="1" spans="1:13">
      <c r="A57" s="99">
        <v>6</v>
      </c>
      <c r="B57" s="100" t="s">
        <v>70</v>
      </c>
      <c r="C57" s="94">
        <f t="shared" si="3"/>
        <v>0.40335</v>
      </c>
      <c r="D57" s="94"/>
      <c r="E57" s="94"/>
      <c r="F57" s="94"/>
      <c r="G57" s="92">
        <f>I57*J57</f>
        <v>0.40335</v>
      </c>
      <c r="H57" s="93" t="s">
        <v>15</v>
      </c>
      <c r="I57" s="93">
        <v>268.9</v>
      </c>
      <c r="J57" s="118">
        <v>0.0015</v>
      </c>
      <c r="L57" s="60"/>
      <c r="M57" s="60"/>
    </row>
    <row r="58" s="61" customFormat="1" ht="30" customHeight="1" spans="1:14">
      <c r="A58" s="99">
        <v>7</v>
      </c>
      <c r="B58" s="101" t="s">
        <v>71</v>
      </c>
      <c r="C58" s="94">
        <f t="shared" si="3"/>
        <v>3</v>
      </c>
      <c r="D58" s="94"/>
      <c r="E58" s="94"/>
      <c r="F58" s="94"/>
      <c r="G58" s="92">
        <v>3</v>
      </c>
      <c r="H58" s="93" t="s">
        <v>15</v>
      </c>
      <c r="I58" s="93">
        <v>268.9</v>
      </c>
      <c r="J58" s="118">
        <f>G58/I58</f>
        <v>0.0111565637783563</v>
      </c>
      <c r="L58" s="60"/>
      <c r="M58" s="60"/>
      <c r="N58" s="119"/>
    </row>
    <row r="59" s="61" customFormat="1" ht="30" customHeight="1" spans="1:13">
      <c r="A59" s="99">
        <v>8</v>
      </c>
      <c r="B59" s="101" t="s">
        <v>72</v>
      </c>
      <c r="C59" s="94">
        <f t="shared" si="3"/>
        <v>2</v>
      </c>
      <c r="D59" s="94"/>
      <c r="E59" s="94"/>
      <c r="F59" s="94"/>
      <c r="G59" s="92">
        <v>2</v>
      </c>
      <c r="H59" s="93" t="s">
        <v>15</v>
      </c>
      <c r="I59" s="93">
        <v>268.9</v>
      </c>
      <c r="J59" s="118">
        <f>G59/I59</f>
        <v>0.00743770918557084</v>
      </c>
      <c r="L59" s="60"/>
      <c r="M59" s="60"/>
    </row>
    <row r="60" s="61" customFormat="1" ht="30" customHeight="1" spans="1:13">
      <c r="A60" s="99">
        <v>9</v>
      </c>
      <c r="B60" s="101" t="s">
        <v>73</v>
      </c>
      <c r="C60" s="94">
        <f t="shared" si="3"/>
        <v>1</v>
      </c>
      <c r="D60" s="94"/>
      <c r="E60" s="94"/>
      <c r="F60" s="94"/>
      <c r="G60" s="94">
        <v>1</v>
      </c>
      <c r="H60" s="93" t="s">
        <v>15</v>
      </c>
      <c r="I60" s="93">
        <f>I56</f>
        <v>268.9</v>
      </c>
      <c r="J60" s="118">
        <f>G60/I60</f>
        <v>0.00371885459278542</v>
      </c>
      <c r="L60" s="60"/>
      <c r="M60" s="60"/>
    </row>
    <row r="61" s="61" customFormat="1" ht="30" customHeight="1" spans="1:13">
      <c r="A61" s="99">
        <v>10</v>
      </c>
      <c r="B61" s="101" t="s">
        <v>74</v>
      </c>
      <c r="C61" s="94">
        <f t="shared" si="3"/>
        <v>2.1823</v>
      </c>
      <c r="D61" s="94"/>
      <c r="E61" s="94"/>
      <c r="F61" s="94"/>
      <c r="G61" s="94">
        <f>((I61-100)*0.7%+1)</f>
        <v>2.1823</v>
      </c>
      <c r="H61" s="93" t="s">
        <v>15</v>
      </c>
      <c r="I61" s="93">
        <f>I60</f>
        <v>268.9</v>
      </c>
      <c r="J61" s="118">
        <f>G61/I61</f>
        <v>0.00811565637783563</v>
      </c>
      <c r="L61" s="60"/>
      <c r="M61" s="60"/>
    </row>
    <row r="62" s="61" customFormat="1" ht="30" customHeight="1" spans="1:13">
      <c r="A62" s="99">
        <v>11</v>
      </c>
      <c r="B62" s="101" t="s">
        <v>75</v>
      </c>
      <c r="C62" s="94">
        <f t="shared" si="3"/>
        <v>25</v>
      </c>
      <c r="D62" s="94"/>
      <c r="E62" s="94"/>
      <c r="F62" s="94"/>
      <c r="G62" s="94">
        <v>25</v>
      </c>
      <c r="H62" s="101" t="s">
        <v>15</v>
      </c>
      <c r="I62" s="101"/>
      <c r="J62" s="101"/>
      <c r="L62" s="60"/>
      <c r="M62" s="60"/>
    </row>
    <row r="63" s="61" customFormat="1" ht="30" customHeight="1" spans="1:13">
      <c r="A63" s="102"/>
      <c r="B63" s="101" t="s">
        <v>33</v>
      </c>
      <c r="C63" s="94">
        <f>SUM(C52:C62)</f>
        <v>46.3494574266667</v>
      </c>
      <c r="D63" s="94"/>
      <c r="E63" s="94"/>
      <c r="F63" s="94"/>
      <c r="G63" s="94">
        <f>SUM(G52:G62)</f>
        <v>46.3494574266667</v>
      </c>
      <c r="H63" s="93" t="s">
        <v>15</v>
      </c>
      <c r="I63" s="102"/>
      <c r="J63" s="102"/>
      <c r="L63" s="60"/>
      <c r="M63" s="60"/>
    </row>
    <row r="64" s="63" customFormat="1" ht="30" customHeight="1" spans="1:19">
      <c r="A64" s="103" t="s">
        <v>76</v>
      </c>
      <c r="B64" s="82" t="s">
        <v>77</v>
      </c>
      <c r="C64" s="83">
        <f>G64</f>
        <v>15.7625448713333</v>
      </c>
      <c r="D64" s="83"/>
      <c r="E64" s="83"/>
      <c r="F64" s="83"/>
      <c r="G64" s="88">
        <f>I64*J64</f>
        <v>15.7625448713333</v>
      </c>
      <c r="H64" s="84" t="s">
        <v>15</v>
      </c>
      <c r="I64" s="120">
        <f>G4+G51</f>
        <v>315.250897426667</v>
      </c>
      <c r="J64" s="121">
        <v>0.05</v>
      </c>
      <c r="M64" s="61"/>
      <c r="N64" s="61"/>
      <c r="O64" s="61"/>
      <c r="P64" s="61"/>
      <c r="Q64" s="61"/>
      <c r="R64" s="61"/>
      <c r="S64" s="61"/>
    </row>
    <row r="65" s="64" customFormat="1" ht="30" customHeight="1" spans="1:19">
      <c r="A65" s="103" t="s">
        <v>78</v>
      </c>
      <c r="B65" s="82" t="s">
        <v>79</v>
      </c>
      <c r="C65" s="83">
        <f>C4</f>
        <v>267.45144</v>
      </c>
      <c r="D65" s="83">
        <f>D4</f>
        <v>0</v>
      </c>
      <c r="E65" s="83">
        <f>E4</f>
        <v>1.45</v>
      </c>
      <c r="F65" s="83">
        <f>G64+G51</f>
        <v>62.112002298</v>
      </c>
      <c r="G65" s="83">
        <f>C65+D65+E65+F65</f>
        <v>331.013442298</v>
      </c>
      <c r="H65" s="84" t="s">
        <v>15</v>
      </c>
      <c r="I65" s="84"/>
      <c r="J65" s="83"/>
      <c r="K65" s="64">
        <v>331.01</v>
      </c>
      <c r="M65" s="61"/>
      <c r="N65" s="61"/>
      <c r="O65" s="61"/>
      <c r="P65" s="61"/>
      <c r="Q65" s="61"/>
      <c r="R65" s="61"/>
      <c r="S65" s="61"/>
    </row>
    <row r="66" s="65" customFormat="1" ht="30" customHeight="1" spans="1:19">
      <c r="A66" s="103" t="s">
        <v>80</v>
      </c>
      <c r="B66" s="105" t="s">
        <v>81</v>
      </c>
      <c r="C66" s="106">
        <f>C65/G65</f>
        <v>0.807977579832612</v>
      </c>
      <c r="D66" s="106">
        <f>D65/G65</f>
        <v>0</v>
      </c>
      <c r="E66" s="106">
        <f>E65/G65</f>
        <v>0.00438048675586599</v>
      </c>
      <c r="F66" s="107">
        <f>F65/G65</f>
        <v>0.187641933411522</v>
      </c>
      <c r="G66" s="106">
        <f>SUM(C66:F66)</f>
        <v>1</v>
      </c>
      <c r="H66" s="108"/>
      <c r="I66" s="120"/>
      <c r="J66" s="122"/>
      <c r="M66" s="61"/>
      <c r="N66" s="61"/>
      <c r="O66" s="61"/>
      <c r="P66" s="61"/>
      <c r="Q66" s="61"/>
      <c r="R66" s="61"/>
      <c r="S66" s="61"/>
    </row>
    <row r="67" ht="21.95" customHeight="1" spans="1:19">
      <c r="A67" s="109"/>
      <c r="B67" s="110"/>
      <c r="C67" s="110"/>
      <c r="D67" s="111"/>
      <c r="E67" s="112"/>
      <c r="F67" s="113"/>
      <c r="G67" s="113"/>
      <c r="H67" s="114"/>
      <c r="M67" s="61"/>
      <c r="N67" s="61"/>
      <c r="O67" s="61"/>
      <c r="P67" s="61"/>
      <c r="Q67" s="61"/>
      <c r="R67" s="61"/>
      <c r="S67" s="61"/>
    </row>
    <row r="68" ht="21.95" customHeight="1" spans="1:19">
      <c r="A68" s="109"/>
      <c r="B68" s="61"/>
      <c r="C68" s="61"/>
      <c r="D68" s="61"/>
      <c r="E68" s="61"/>
      <c r="F68" s="61"/>
      <c r="G68" s="61"/>
      <c r="H68" s="61"/>
      <c r="I68" s="61"/>
      <c r="M68" s="61"/>
      <c r="N68" s="61"/>
      <c r="O68" s="61"/>
      <c r="P68" s="61"/>
      <c r="Q68" s="61"/>
      <c r="R68" s="61"/>
      <c r="S68" s="61"/>
    </row>
    <row r="69" ht="21.95" customHeight="1" spans="1:8">
      <c r="A69" s="109"/>
      <c r="B69" s="110"/>
      <c r="C69" s="110"/>
      <c r="D69" s="111"/>
      <c r="E69" s="112"/>
      <c r="F69" s="115"/>
      <c r="G69" s="113"/>
      <c r="H69" s="114"/>
    </row>
    <row r="70" ht="21.95" customHeight="1" spans="1:8">
      <c r="A70" s="109"/>
      <c r="B70" s="110"/>
      <c r="C70" s="110"/>
      <c r="D70" s="111"/>
      <c r="E70" s="112"/>
      <c r="F70" s="115"/>
      <c r="G70" s="113"/>
      <c r="H70" s="114"/>
    </row>
    <row r="71" ht="21.95" customHeight="1" spans="1:8">
      <c r="A71" s="109"/>
      <c r="B71" s="110"/>
      <c r="C71" s="110"/>
      <c r="D71" s="111"/>
      <c r="E71" s="112"/>
      <c r="F71" s="115"/>
      <c r="G71" s="113"/>
      <c r="H71" s="114"/>
    </row>
    <row r="72" ht="21.95" customHeight="1" spans="1:8">
      <c r="A72" s="109"/>
      <c r="B72" s="110"/>
      <c r="C72" s="110"/>
      <c r="D72" s="111"/>
      <c r="E72" s="112"/>
      <c r="F72" s="115"/>
      <c r="G72" s="113"/>
      <c r="H72" s="114"/>
    </row>
    <row r="73" ht="21.95" customHeight="1" spans="1:8">
      <c r="A73" s="109"/>
      <c r="B73" s="110"/>
      <c r="C73" s="110"/>
      <c r="D73" s="111"/>
      <c r="E73" s="112"/>
      <c r="F73" s="115"/>
      <c r="G73" s="113"/>
      <c r="H73" s="114"/>
    </row>
    <row r="74" ht="21.95" customHeight="1" spans="1:8">
      <c r="A74" s="109"/>
      <c r="B74" s="110"/>
      <c r="C74" s="110"/>
      <c r="D74" s="111"/>
      <c r="E74" s="112"/>
      <c r="F74" s="115"/>
      <c r="G74" s="113"/>
      <c r="H74" s="114"/>
    </row>
    <row r="75" ht="21.95" customHeight="1" spans="1:8">
      <c r="A75" s="109"/>
      <c r="B75" s="110"/>
      <c r="C75" s="110"/>
      <c r="D75" s="111"/>
      <c r="E75" s="112"/>
      <c r="F75" s="115"/>
      <c r="G75" s="113"/>
      <c r="H75" s="114"/>
    </row>
    <row r="76" ht="21.95" customHeight="1" spans="1:8">
      <c r="A76" s="109"/>
      <c r="B76" s="110"/>
      <c r="C76" s="110"/>
      <c r="D76" s="111"/>
      <c r="E76" s="112"/>
      <c r="F76" s="115"/>
      <c r="G76" s="113"/>
      <c r="H76" s="114"/>
    </row>
    <row r="77" ht="21.95" customHeight="1" spans="1:8">
      <c r="A77" s="109"/>
      <c r="B77" s="110"/>
      <c r="C77" s="110"/>
      <c r="D77" s="111"/>
      <c r="E77" s="112"/>
      <c r="F77" s="115"/>
      <c r="G77" s="113"/>
      <c r="H77" s="114"/>
    </row>
    <row r="78" ht="21.95" customHeight="1" spans="1:8">
      <c r="A78" s="109"/>
      <c r="B78" s="110"/>
      <c r="C78" s="110"/>
      <c r="D78" s="111"/>
      <c r="E78" s="112"/>
      <c r="F78" s="115"/>
      <c r="G78" s="113"/>
      <c r="H78" s="114"/>
    </row>
    <row r="79" ht="21.95" customHeight="1" spans="1:8">
      <c r="A79" s="109"/>
      <c r="B79" s="110"/>
      <c r="C79" s="110"/>
      <c r="D79" s="111"/>
      <c r="E79" s="112"/>
      <c r="F79" s="115"/>
      <c r="G79" s="113"/>
      <c r="H79" s="114"/>
    </row>
    <row r="80" ht="21.95" customHeight="1" spans="1:8">
      <c r="A80" s="109"/>
      <c r="B80" s="110"/>
      <c r="C80" s="110"/>
      <c r="D80" s="111"/>
      <c r="E80" s="112"/>
      <c r="F80" s="115"/>
      <c r="G80" s="113"/>
      <c r="H80" s="114"/>
    </row>
    <row r="81" ht="21.95" customHeight="1" spans="1:8">
      <c r="A81" s="109"/>
      <c r="B81" s="110"/>
      <c r="C81" s="110"/>
      <c r="D81" s="111"/>
      <c r="E81" s="112"/>
      <c r="F81" s="115"/>
      <c r="G81" s="113"/>
      <c r="H81" s="114"/>
    </row>
    <row r="82" ht="21.95" customHeight="1" spans="1:8">
      <c r="A82" s="109"/>
      <c r="B82" s="110"/>
      <c r="C82" s="110"/>
      <c r="D82" s="111"/>
      <c r="E82" s="112"/>
      <c r="F82" s="115"/>
      <c r="G82" s="113"/>
      <c r="H82" s="114"/>
    </row>
    <row r="83" s="66" customFormat="1" ht="21.95" customHeight="1" spans="1:21">
      <c r="A83" s="109"/>
      <c r="B83" s="110"/>
      <c r="C83" s="110"/>
      <c r="D83" s="111"/>
      <c r="E83" s="112"/>
      <c r="F83" s="115"/>
      <c r="G83" s="113"/>
      <c r="H83" s="114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="66" customFormat="1" ht="21.95" customHeight="1" spans="1:21">
      <c r="A84" s="109"/>
      <c r="B84" s="110"/>
      <c r="C84" s="110"/>
      <c r="D84" s="111"/>
      <c r="E84" s="112"/>
      <c r="F84" s="115"/>
      <c r="G84" s="113"/>
      <c r="H84" s="114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="66" customFormat="1" ht="21.95" customHeight="1" spans="1:21">
      <c r="A85" s="109"/>
      <c r="B85" s="110"/>
      <c r="C85" s="110"/>
      <c r="D85" s="111"/>
      <c r="E85" s="112"/>
      <c r="F85" s="115"/>
      <c r="G85" s="113"/>
      <c r="H85" s="114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="66" customFormat="1" ht="21.95" customHeight="1" spans="1:21">
      <c r="A86" s="109"/>
      <c r="B86" s="110"/>
      <c r="C86" s="110"/>
      <c r="D86" s="111"/>
      <c r="E86" s="112"/>
      <c r="F86" s="115"/>
      <c r="G86" s="113"/>
      <c r="H86" s="114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="66" customFormat="1" ht="21.95" customHeight="1" spans="1:21">
      <c r="A87" s="109"/>
      <c r="B87" s="110"/>
      <c r="C87" s="110"/>
      <c r="D87" s="111"/>
      <c r="E87" s="112"/>
      <c r="F87" s="115"/>
      <c r="G87" s="113"/>
      <c r="H87" s="114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="66" customFormat="1" ht="21.95" customHeight="1" spans="1:21">
      <c r="A88" s="109"/>
      <c r="B88" s="110"/>
      <c r="C88" s="110"/>
      <c r="D88" s="111"/>
      <c r="E88" s="112"/>
      <c r="F88" s="115"/>
      <c r="G88" s="113"/>
      <c r="H88" s="114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="66" customFormat="1" ht="21.95" customHeight="1" spans="1:21">
      <c r="A89" s="109"/>
      <c r="B89" s="110"/>
      <c r="C89" s="110"/>
      <c r="D89" s="111"/>
      <c r="E89" s="112"/>
      <c r="F89" s="115"/>
      <c r="G89" s="113"/>
      <c r="H89" s="114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="66" customFormat="1" ht="21.95" customHeight="1" spans="1:21">
      <c r="A90" s="109"/>
      <c r="B90" s="110"/>
      <c r="C90" s="110"/>
      <c r="D90" s="111"/>
      <c r="E90" s="112"/>
      <c r="F90" s="115"/>
      <c r="G90" s="113"/>
      <c r="H90" s="114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="66" customFormat="1" ht="21.95" customHeight="1" spans="1:21">
      <c r="A91" s="109"/>
      <c r="B91" s="110"/>
      <c r="C91" s="110"/>
      <c r="D91" s="111"/>
      <c r="E91" s="112"/>
      <c r="F91" s="115"/>
      <c r="G91" s="113"/>
      <c r="H91" s="11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="66" customFormat="1" ht="21.95" customHeight="1" spans="1:21">
      <c r="A92" s="109"/>
      <c r="B92" s="110"/>
      <c r="C92" s="110"/>
      <c r="D92" s="111"/>
      <c r="E92" s="112"/>
      <c r="F92" s="115"/>
      <c r="G92" s="113"/>
      <c r="H92" s="114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="66" customFormat="1" ht="21.95" customHeight="1" spans="1:21">
      <c r="A93" s="109"/>
      <c r="B93" s="110"/>
      <c r="C93" s="110"/>
      <c r="D93" s="111"/>
      <c r="E93" s="112"/>
      <c r="F93" s="115"/>
      <c r="G93" s="113"/>
      <c r="H93" s="114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="66" customFormat="1" ht="21.95" customHeight="1" spans="1:21">
      <c r="A94" s="109"/>
      <c r="B94" s="110"/>
      <c r="C94" s="110"/>
      <c r="D94" s="111"/>
      <c r="E94" s="112"/>
      <c r="F94" s="115"/>
      <c r="G94" s="113"/>
      <c r="H94" s="114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="66" customFormat="1" ht="21.95" customHeight="1" spans="1:21">
      <c r="A95" s="109"/>
      <c r="B95" s="110"/>
      <c r="C95" s="110"/>
      <c r="D95" s="111"/>
      <c r="E95" s="112"/>
      <c r="F95" s="115"/>
      <c r="G95" s="113"/>
      <c r="H95" s="114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="66" customFormat="1" ht="21.95" customHeight="1" spans="1:21">
      <c r="A96" s="109"/>
      <c r="B96" s="110"/>
      <c r="C96" s="110"/>
      <c r="D96" s="111"/>
      <c r="E96" s="112"/>
      <c r="F96" s="115"/>
      <c r="G96" s="113"/>
      <c r="H96" s="114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="66" customFormat="1" ht="21.95" customHeight="1" spans="1:21">
      <c r="A97" s="109"/>
      <c r="B97" s="110"/>
      <c r="C97" s="110"/>
      <c r="D97" s="111"/>
      <c r="E97" s="112"/>
      <c r="F97" s="115"/>
      <c r="G97" s="113"/>
      <c r="H97" s="114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="66" customFormat="1" ht="21.95" customHeight="1" spans="1:21">
      <c r="A98" s="109"/>
      <c r="B98" s="110"/>
      <c r="C98" s="110"/>
      <c r="D98" s="111"/>
      <c r="E98" s="112"/>
      <c r="F98" s="115"/>
      <c r="G98" s="113"/>
      <c r="H98" s="114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="66" customFormat="1" ht="21.95" customHeight="1" spans="1:21">
      <c r="A99" s="109"/>
      <c r="B99" s="110"/>
      <c r="C99" s="110"/>
      <c r="D99" s="111"/>
      <c r="E99" s="112"/>
      <c r="F99" s="115"/>
      <c r="G99" s="113"/>
      <c r="H99" s="114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="66" customFormat="1" ht="21.95" customHeight="1" spans="1:21">
      <c r="A100" s="109"/>
      <c r="B100" s="110"/>
      <c r="C100" s="110"/>
      <c r="D100" s="111"/>
      <c r="E100" s="112"/>
      <c r="F100" s="115"/>
      <c r="G100" s="113"/>
      <c r="H100" s="114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="66" customFormat="1" ht="21.95" customHeight="1" spans="1:21">
      <c r="A101" s="109"/>
      <c r="B101" s="110"/>
      <c r="C101" s="110"/>
      <c r="D101" s="111"/>
      <c r="E101" s="112"/>
      <c r="F101" s="115"/>
      <c r="G101" s="113"/>
      <c r="H101" s="114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="66" customFormat="1" ht="21.95" customHeight="1" spans="1:21">
      <c r="A102" s="109"/>
      <c r="B102" s="110"/>
      <c r="C102" s="110"/>
      <c r="D102" s="111"/>
      <c r="E102" s="112"/>
      <c r="F102" s="115"/>
      <c r="G102" s="113"/>
      <c r="H102" s="114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="66" customFormat="1" ht="21.95" customHeight="1" spans="1:21">
      <c r="A103" s="109"/>
      <c r="B103" s="110"/>
      <c r="C103" s="110"/>
      <c r="D103" s="111"/>
      <c r="E103" s="112"/>
      <c r="F103" s="115"/>
      <c r="G103" s="113"/>
      <c r="H103" s="114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="66" customFormat="1" ht="21.95" customHeight="1" spans="1:21">
      <c r="A104" s="67"/>
      <c r="D104" s="68"/>
      <c r="E104" s="69"/>
      <c r="F104" s="70"/>
      <c r="G104" s="71"/>
      <c r="H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="66" customFormat="1" ht="21.95" customHeight="1" spans="1:21">
      <c r="A105" s="67"/>
      <c r="D105" s="68"/>
      <c r="E105" s="69"/>
      <c r="F105" s="70"/>
      <c r="G105" s="71"/>
      <c r="H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="66" customFormat="1" ht="21.95" customHeight="1" spans="1:21">
      <c r="A106" s="67"/>
      <c r="D106" s="68"/>
      <c r="E106" s="69"/>
      <c r="F106" s="70"/>
      <c r="G106" s="71"/>
      <c r="H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="66" customFormat="1" ht="21.95" customHeight="1" spans="1:21">
      <c r="A107" s="67"/>
      <c r="D107" s="68"/>
      <c r="E107" s="69"/>
      <c r="F107" s="70"/>
      <c r="G107" s="71"/>
      <c r="H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="66" customFormat="1" ht="21.95" customHeight="1" spans="1:21">
      <c r="A108" s="67"/>
      <c r="D108" s="68"/>
      <c r="E108" s="69"/>
      <c r="F108" s="70"/>
      <c r="G108" s="71"/>
      <c r="H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="66" customFormat="1" ht="21.95" customHeight="1" spans="1:21">
      <c r="A109" s="67"/>
      <c r="D109" s="68"/>
      <c r="E109" s="69"/>
      <c r="F109" s="70"/>
      <c r="G109" s="71"/>
      <c r="H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="66" customFormat="1" ht="21.95" customHeight="1" spans="1:21">
      <c r="A110" s="67"/>
      <c r="D110" s="68"/>
      <c r="E110" s="69"/>
      <c r="F110" s="70"/>
      <c r="G110" s="71"/>
      <c r="H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="66" customFormat="1" ht="21.95" customHeight="1" spans="1:21">
      <c r="A111" s="67"/>
      <c r="D111" s="68"/>
      <c r="E111" s="69"/>
      <c r="F111" s="70"/>
      <c r="G111" s="71"/>
      <c r="H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="66" customFormat="1" ht="21.95" customHeight="1" spans="1:21">
      <c r="A112" s="67"/>
      <c r="D112" s="68"/>
      <c r="E112" s="69"/>
      <c r="F112" s="70"/>
      <c r="G112" s="71"/>
      <c r="H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="66" customFormat="1" ht="21.95" customHeight="1" spans="1:21">
      <c r="A113" s="67"/>
      <c r="D113" s="68"/>
      <c r="E113" s="69"/>
      <c r="F113" s="70"/>
      <c r="G113" s="71"/>
      <c r="H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="66" customFormat="1" ht="21.95" customHeight="1" spans="1:21">
      <c r="A114" s="67"/>
      <c r="D114" s="68"/>
      <c r="E114" s="69"/>
      <c r="F114" s="70"/>
      <c r="G114" s="71"/>
      <c r="H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="67" customFormat="1" ht="21.95" customHeight="1" spans="2:21">
      <c r="B115" s="66"/>
      <c r="C115" s="66"/>
      <c r="D115" s="68"/>
      <c r="E115" s="69"/>
      <c r="F115" s="70"/>
      <c r="G115" s="71"/>
      <c r="H115" s="72"/>
      <c r="I115" s="66"/>
      <c r="J115" s="66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="67" customFormat="1" ht="21.95" customHeight="1" spans="2:21">
      <c r="B116" s="66"/>
      <c r="C116" s="66"/>
      <c r="D116" s="68"/>
      <c r="E116" s="69"/>
      <c r="F116" s="70"/>
      <c r="G116" s="71"/>
      <c r="H116" s="72"/>
      <c r="I116" s="66"/>
      <c r="J116" s="66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="67" customFormat="1" ht="21.95" customHeight="1" spans="2:21">
      <c r="B117" s="66"/>
      <c r="C117" s="66"/>
      <c r="D117" s="68"/>
      <c r="E117" s="69"/>
      <c r="F117" s="70"/>
      <c r="G117" s="71"/>
      <c r="H117" s="72"/>
      <c r="I117" s="66"/>
      <c r="J117" s="66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="67" customFormat="1" ht="21.95" customHeight="1" spans="2:21">
      <c r="B118" s="66"/>
      <c r="C118" s="66"/>
      <c r="D118" s="68"/>
      <c r="E118" s="69"/>
      <c r="F118" s="70"/>
      <c r="G118" s="71"/>
      <c r="H118" s="72"/>
      <c r="I118" s="66"/>
      <c r="J118" s="66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="67" customFormat="1" ht="21.95" customHeight="1" spans="2:21">
      <c r="B119" s="66"/>
      <c r="C119" s="66"/>
      <c r="D119" s="68"/>
      <c r="E119" s="69"/>
      <c r="F119" s="70"/>
      <c r="G119" s="71"/>
      <c r="H119" s="72"/>
      <c r="I119" s="66"/>
      <c r="J119" s="66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="67" customFormat="1" ht="21.95" customHeight="1" spans="2:21">
      <c r="B120" s="66"/>
      <c r="C120" s="66"/>
      <c r="D120" s="68"/>
      <c r="E120" s="69"/>
      <c r="F120" s="70"/>
      <c r="G120" s="71"/>
      <c r="H120" s="72"/>
      <c r="I120" s="66"/>
      <c r="J120" s="66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="67" customFormat="1" ht="21.95" customHeight="1" spans="2:21">
      <c r="B121" s="66"/>
      <c r="C121" s="66"/>
      <c r="D121" s="68"/>
      <c r="E121" s="69"/>
      <c r="F121" s="70"/>
      <c r="G121" s="71"/>
      <c r="H121" s="72"/>
      <c r="I121" s="66"/>
      <c r="J121" s="66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="67" customFormat="1" ht="21.95" customHeight="1" spans="2:21">
      <c r="B122" s="66"/>
      <c r="C122" s="66"/>
      <c r="D122" s="68"/>
      <c r="E122" s="69"/>
      <c r="F122" s="70"/>
      <c r="G122" s="71"/>
      <c r="H122" s="72"/>
      <c r="I122" s="66"/>
      <c r="J122" s="66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="67" customFormat="1" ht="21.95" customHeight="1" spans="2:21">
      <c r="B123" s="66"/>
      <c r="C123" s="66"/>
      <c r="D123" s="68"/>
      <c r="E123" s="69"/>
      <c r="F123" s="70"/>
      <c r="G123" s="71"/>
      <c r="H123" s="72"/>
      <c r="I123" s="66"/>
      <c r="J123" s="66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="67" customFormat="1" ht="21.95" customHeight="1" spans="2:21">
      <c r="B124" s="66"/>
      <c r="C124" s="66"/>
      <c r="D124" s="68"/>
      <c r="E124" s="69"/>
      <c r="F124" s="70"/>
      <c r="G124" s="71"/>
      <c r="H124" s="72"/>
      <c r="I124" s="66"/>
      <c r="J124" s="66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="67" customFormat="1" ht="21.95" customHeight="1" spans="2:21">
      <c r="B125" s="66"/>
      <c r="C125" s="66"/>
      <c r="D125" s="68"/>
      <c r="E125" s="69"/>
      <c r="F125" s="70"/>
      <c r="G125" s="71"/>
      <c r="H125" s="72"/>
      <c r="I125" s="66"/>
      <c r="J125" s="66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="67" customFormat="1" ht="21.95" customHeight="1" spans="2:21">
      <c r="B126" s="66"/>
      <c r="C126" s="66"/>
      <c r="D126" s="68"/>
      <c r="E126" s="69"/>
      <c r="F126" s="70"/>
      <c r="G126" s="71"/>
      <c r="H126" s="72"/>
      <c r="I126" s="66"/>
      <c r="J126" s="66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="67" customFormat="1" ht="21.95" customHeight="1" spans="2:21">
      <c r="B127" s="66"/>
      <c r="C127" s="66"/>
      <c r="D127" s="68"/>
      <c r="E127" s="69"/>
      <c r="F127" s="70"/>
      <c r="G127" s="71"/>
      <c r="H127" s="72"/>
      <c r="I127" s="66"/>
      <c r="J127" s="66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="67" customFormat="1" ht="21.95" customHeight="1" spans="2:21">
      <c r="B128" s="66"/>
      <c r="C128" s="66"/>
      <c r="D128" s="68"/>
      <c r="E128" s="69"/>
      <c r="F128" s="70"/>
      <c r="G128" s="71"/>
      <c r="H128" s="72"/>
      <c r="I128" s="66"/>
      <c r="J128" s="66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="67" customFormat="1" ht="21.95" customHeight="1" spans="2:21">
      <c r="B129" s="66"/>
      <c r="C129" s="66"/>
      <c r="D129" s="68"/>
      <c r="E129" s="69"/>
      <c r="F129" s="70"/>
      <c r="G129" s="71"/>
      <c r="H129" s="72"/>
      <c r="I129" s="66"/>
      <c r="J129" s="66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="67" customFormat="1" ht="21.95" customHeight="1" spans="2:21">
      <c r="B130" s="66"/>
      <c r="C130" s="66"/>
      <c r="D130" s="68"/>
      <c r="E130" s="69"/>
      <c r="F130" s="70"/>
      <c r="G130" s="71"/>
      <c r="H130" s="72"/>
      <c r="I130" s="66"/>
      <c r="J130" s="66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="67" customFormat="1" ht="21.95" customHeight="1" spans="2:21">
      <c r="B131" s="66"/>
      <c r="C131" s="66"/>
      <c r="D131" s="68"/>
      <c r="E131" s="69"/>
      <c r="F131" s="70"/>
      <c r="G131" s="71"/>
      <c r="H131" s="72"/>
      <c r="I131" s="66"/>
      <c r="J131" s="66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="67" customFormat="1" ht="21.95" customHeight="1" spans="2:21">
      <c r="B132" s="66"/>
      <c r="C132" s="66"/>
      <c r="D132" s="68"/>
      <c r="E132" s="69"/>
      <c r="F132" s="70"/>
      <c r="G132" s="71"/>
      <c r="H132" s="72"/>
      <c r="I132" s="66"/>
      <c r="J132" s="66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="67" customFormat="1" ht="21.95" customHeight="1" spans="2:21">
      <c r="B133" s="66"/>
      <c r="C133" s="66"/>
      <c r="D133" s="68"/>
      <c r="E133" s="69"/>
      <c r="F133" s="70"/>
      <c r="G133" s="71"/>
      <c r="H133" s="72"/>
      <c r="I133" s="66"/>
      <c r="J133" s="66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="67" customFormat="1" ht="21.95" customHeight="1" spans="2:21">
      <c r="B134" s="66"/>
      <c r="C134" s="66"/>
      <c r="D134" s="68"/>
      <c r="E134" s="69"/>
      <c r="F134" s="70"/>
      <c r="G134" s="71"/>
      <c r="H134" s="72"/>
      <c r="I134" s="66"/>
      <c r="J134" s="66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="67" customFormat="1" ht="21.95" customHeight="1" spans="2:21">
      <c r="B135" s="66"/>
      <c r="C135" s="66"/>
      <c r="D135" s="68"/>
      <c r="E135" s="69"/>
      <c r="F135" s="70"/>
      <c r="G135" s="71"/>
      <c r="H135" s="72"/>
      <c r="I135" s="66"/>
      <c r="J135" s="66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="67" customFormat="1" ht="21.95" customHeight="1" spans="2:21">
      <c r="B136" s="66"/>
      <c r="C136" s="66"/>
      <c r="D136" s="68"/>
      <c r="E136" s="69"/>
      <c r="F136" s="70"/>
      <c r="G136" s="71"/>
      <c r="H136" s="72"/>
      <c r="I136" s="66"/>
      <c r="J136" s="66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="67" customFormat="1" ht="21.95" customHeight="1" spans="2:21">
      <c r="B137" s="66"/>
      <c r="C137" s="66"/>
      <c r="D137" s="68"/>
      <c r="E137" s="69"/>
      <c r="F137" s="70"/>
      <c r="G137" s="71"/>
      <c r="H137" s="72"/>
      <c r="I137" s="66"/>
      <c r="J137" s="66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="67" customFormat="1" ht="21.95" customHeight="1" spans="2:21">
      <c r="B138" s="66"/>
      <c r="C138" s="66"/>
      <c r="D138" s="68"/>
      <c r="E138" s="69"/>
      <c r="F138" s="70"/>
      <c r="G138" s="71"/>
      <c r="H138" s="72"/>
      <c r="I138" s="66"/>
      <c r="J138" s="66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="67" customFormat="1" ht="21.95" customHeight="1" spans="2:21">
      <c r="B139" s="66"/>
      <c r="C139" s="66"/>
      <c r="D139" s="68"/>
      <c r="E139" s="69"/>
      <c r="F139" s="70"/>
      <c r="G139" s="71"/>
      <c r="H139" s="72"/>
      <c r="I139" s="66"/>
      <c r="J139" s="66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="67" customFormat="1" ht="21.95" customHeight="1" spans="2:21">
      <c r="B140" s="66"/>
      <c r="C140" s="66"/>
      <c r="D140" s="68"/>
      <c r="E140" s="69"/>
      <c r="F140" s="70"/>
      <c r="G140" s="71"/>
      <c r="H140" s="72"/>
      <c r="I140" s="66"/>
      <c r="J140" s="66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  <row r="141" s="67" customFormat="1" ht="21.95" customHeight="1" spans="2:21">
      <c r="B141" s="66"/>
      <c r="C141" s="66"/>
      <c r="D141" s="68"/>
      <c r="E141" s="69"/>
      <c r="F141" s="70"/>
      <c r="G141" s="71"/>
      <c r="H141" s="72"/>
      <c r="I141" s="66"/>
      <c r="J141" s="66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="67" customFormat="1" ht="21.95" customHeight="1" spans="2:21">
      <c r="B142" s="66"/>
      <c r="C142" s="66"/>
      <c r="D142" s="68"/>
      <c r="E142" s="69"/>
      <c r="F142" s="70"/>
      <c r="G142" s="71"/>
      <c r="H142" s="72"/>
      <c r="I142" s="66"/>
      <c r="J142" s="66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</row>
    <row r="143" s="67" customFormat="1" ht="21.95" customHeight="1" spans="2:21">
      <c r="B143" s="66"/>
      <c r="C143" s="66"/>
      <c r="D143" s="68"/>
      <c r="E143" s="69"/>
      <c r="F143" s="70"/>
      <c r="G143" s="71"/>
      <c r="H143" s="72"/>
      <c r="I143" s="66"/>
      <c r="J143" s="66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</row>
  </sheetData>
  <mergeCells count="5">
    <mergeCell ref="A1:J1"/>
    <mergeCell ref="C2:G2"/>
    <mergeCell ref="H2:J2"/>
    <mergeCell ref="A2:A3"/>
    <mergeCell ref="B2:B3"/>
  </mergeCells>
  <printOptions horizontalCentered="1"/>
  <pageMargins left="0.589583333333333" right="0.589583333333333" top="0.0395833333333333" bottom="0.789583333333333" header="0.509722222222222" footer="0.509722222222222"/>
  <pageSetup paperSize="9" scale="75" firstPageNumber="4" fitToHeight="0" orientation="portrait" useFirstPageNumber="1" horizontalDpi="600" verticalDpi="6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3"/>
  <sheetViews>
    <sheetView zoomScale="85" zoomScaleNormal="85" topLeftCell="A49" workbookViewId="0">
      <selection activeCell="G55" sqref="G55"/>
    </sheetView>
  </sheetViews>
  <sheetFormatPr defaultColWidth="9" defaultRowHeight="21" customHeight="1"/>
  <cols>
    <col min="1" max="1" width="5.375" style="67" customWidth="1"/>
    <col min="2" max="2" width="30.75" style="66" customWidth="1"/>
    <col min="3" max="3" width="9" style="66" customWidth="1"/>
    <col min="4" max="4" width="11.25" style="68" customWidth="1"/>
    <col min="5" max="5" width="10.25" style="69" customWidth="1"/>
    <col min="6" max="6" width="8.625" style="70" customWidth="1"/>
    <col min="7" max="7" width="12.375" style="71" customWidth="1"/>
    <col min="8" max="8" width="5.625" style="72" customWidth="1"/>
    <col min="9" max="9" width="10.625" style="66" customWidth="1"/>
    <col min="10" max="10" width="11.125" style="66" customWidth="1"/>
    <col min="11" max="11" width="10.375" style="72"/>
    <col min="12" max="12" width="49.25" style="72" customWidth="1"/>
    <col min="13" max="13" width="9" style="72"/>
    <col min="14" max="14" width="10.375" style="72"/>
    <col min="15" max="15" width="15.125" style="72" customWidth="1"/>
    <col min="16" max="16384" width="9" style="72"/>
  </cols>
  <sheetData>
    <row r="1" ht="60" customHeight="1" spans="1:1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ht="30" customHeight="1" spans="1:10">
      <c r="A2" s="74" t="s">
        <v>1</v>
      </c>
      <c r="B2" s="75" t="s">
        <v>2</v>
      </c>
      <c r="C2" s="76" t="s">
        <v>3</v>
      </c>
      <c r="D2" s="77"/>
      <c r="E2" s="77"/>
      <c r="F2" s="77"/>
      <c r="G2" s="77"/>
      <c r="H2" s="78" t="s">
        <v>4</v>
      </c>
      <c r="I2" s="78"/>
      <c r="J2" s="78"/>
    </row>
    <row r="3" s="59" customFormat="1" ht="30" customHeight="1" spans="1:12">
      <c r="A3" s="79"/>
      <c r="B3" s="80"/>
      <c r="C3" s="78" t="s">
        <v>5</v>
      </c>
      <c r="D3" s="78" t="s">
        <v>6</v>
      </c>
      <c r="E3" s="78" t="s">
        <v>7</v>
      </c>
      <c r="F3" s="78" t="s">
        <v>8</v>
      </c>
      <c r="G3" s="76" t="s">
        <v>9</v>
      </c>
      <c r="H3" s="78" t="s">
        <v>10</v>
      </c>
      <c r="I3" s="78" t="s">
        <v>11</v>
      </c>
      <c r="J3" s="78" t="s">
        <v>12</v>
      </c>
      <c r="L3" s="59">
        <f>SUM(G6:G16)</f>
        <v>147.764</v>
      </c>
    </row>
    <row r="4" s="60" customFormat="1" ht="30" customHeight="1" spans="1:10">
      <c r="A4" s="81" t="s">
        <v>13</v>
      </c>
      <c r="B4" s="82" t="s">
        <v>14</v>
      </c>
      <c r="C4" s="83">
        <f>C5+C18+C25+C42+C49</f>
        <v>267.45144</v>
      </c>
      <c r="D4" s="83"/>
      <c r="E4" s="83">
        <v>1.45</v>
      </c>
      <c r="F4" s="83"/>
      <c r="G4" s="83">
        <f>SUM(G5,G18,G25,G42,G49,G50)</f>
        <v>268.90144</v>
      </c>
      <c r="H4" s="84" t="s">
        <v>15</v>
      </c>
      <c r="I4" s="84"/>
      <c r="J4" s="84"/>
    </row>
    <row r="5" s="60" customFormat="1" ht="30" customHeight="1" spans="1:10">
      <c r="A5" s="81">
        <v>1</v>
      </c>
      <c r="B5" s="85" t="s">
        <v>16</v>
      </c>
      <c r="C5" s="86">
        <f>C17</f>
        <v>147.764</v>
      </c>
      <c r="D5" s="83"/>
      <c r="E5" s="87"/>
      <c r="F5" s="83"/>
      <c r="G5" s="88">
        <f>G17</f>
        <v>147.764</v>
      </c>
      <c r="H5" s="84" t="s">
        <v>15</v>
      </c>
      <c r="I5" s="84"/>
      <c r="J5" s="84"/>
    </row>
    <row r="6" s="60" customFormat="1" ht="30" customHeight="1" spans="1:10">
      <c r="A6" s="89">
        <v>1.1</v>
      </c>
      <c r="B6" s="90" t="s">
        <v>17</v>
      </c>
      <c r="C6" s="91">
        <f t="shared" ref="C6:C16" si="0">G6</f>
        <v>4.99</v>
      </c>
      <c r="D6" s="83"/>
      <c r="E6" s="87"/>
      <c r="F6" s="83"/>
      <c r="G6" s="92">
        <v>4.99</v>
      </c>
      <c r="H6" s="93" t="s">
        <v>18</v>
      </c>
      <c r="I6" s="93">
        <v>1438.3</v>
      </c>
      <c r="J6" s="116">
        <f>G6/I6*10000</f>
        <v>34.6937356601544</v>
      </c>
    </row>
    <row r="7" s="61" customFormat="1" ht="30" customHeight="1" spans="1:10">
      <c r="A7" s="89">
        <v>1.2</v>
      </c>
      <c r="B7" s="90" t="s">
        <v>19</v>
      </c>
      <c r="C7" s="91">
        <f t="shared" si="0"/>
        <v>15.44</v>
      </c>
      <c r="D7" s="83"/>
      <c r="E7" s="87"/>
      <c r="F7" s="83"/>
      <c r="G7" s="92">
        <v>15.44</v>
      </c>
      <c r="H7" s="93" t="s">
        <v>18</v>
      </c>
      <c r="I7" s="93">
        <f>74.1+780+1000</f>
        <v>1854.1</v>
      </c>
      <c r="J7" s="116">
        <f>G7/I7*10000</f>
        <v>83.2749042662208</v>
      </c>
    </row>
    <row r="8" s="61" customFormat="1" ht="30" customHeight="1" spans="1:10">
      <c r="A8" s="89">
        <v>1.3</v>
      </c>
      <c r="B8" s="96" t="s">
        <v>20</v>
      </c>
      <c r="C8" s="91">
        <f t="shared" si="0"/>
        <v>68.23</v>
      </c>
      <c r="D8" s="94"/>
      <c r="E8" s="95"/>
      <c r="F8" s="94"/>
      <c r="G8" s="92">
        <v>68.23</v>
      </c>
      <c r="H8" s="93" t="s">
        <v>21</v>
      </c>
      <c r="I8" s="93"/>
      <c r="J8" s="116"/>
    </row>
    <row r="9" s="61" customFormat="1" ht="30" customHeight="1" spans="1:10">
      <c r="A9" s="89">
        <v>1.4</v>
      </c>
      <c r="B9" s="96" t="s">
        <v>22</v>
      </c>
      <c r="C9" s="91">
        <f t="shared" si="0"/>
        <v>8.34</v>
      </c>
      <c r="D9" s="94"/>
      <c r="E9" s="95"/>
      <c r="F9" s="94"/>
      <c r="G9" s="92">
        <v>8.34</v>
      </c>
      <c r="H9" s="93" t="s">
        <v>23</v>
      </c>
      <c r="I9" s="93">
        <v>593</v>
      </c>
      <c r="J9" s="116">
        <f>G9/I9*10000</f>
        <v>140.640809443508</v>
      </c>
    </row>
    <row r="10" s="61" customFormat="1" ht="30" customHeight="1" spans="1:10">
      <c r="A10" s="89">
        <v>1.5</v>
      </c>
      <c r="B10" s="96" t="s">
        <v>24</v>
      </c>
      <c r="C10" s="91">
        <f t="shared" si="0"/>
        <v>30.72</v>
      </c>
      <c r="D10" s="94"/>
      <c r="E10" s="95"/>
      <c r="F10" s="94"/>
      <c r="G10" s="92">
        <v>30.72</v>
      </c>
      <c r="H10" s="93" t="s">
        <v>25</v>
      </c>
      <c r="I10" s="93">
        <v>1255</v>
      </c>
      <c r="J10" s="116">
        <f>G10/I10*10000</f>
        <v>244.780876494024</v>
      </c>
    </row>
    <row r="11" s="61" customFormat="1" ht="30" customHeight="1" spans="1:10">
      <c r="A11" s="89">
        <v>1.6</v>
      </c>
      <c r="B11" s="90" t="s">
        <v>26</v>
      </c>
      <c r="C11" s="91">
        <f t="shared" si="0"/>
        <v>2.504</v>
      </c>
      <c r="D11" s="94"/>
      <c r="E11" s="95"/>
      <c r="F11" s="94"/>
      <c r="G11" s="92">
        <f t="shared" ref="G11:G16" si="1">I11*J11/10000</f>
        <v>2.504</v>
      </c>
      <c r="H11" s="93" t="s">
        <v>21</v>
      </c>
      <c r="I11" s="93">
        <v>313</v>
      </c>
      <c r="J11" s="93">
        <v>80</v>
      </c>
    </row>
    <row r="12" s="61" customFormat="1" ht="30" customHeight="1" spans="1:10">
      <c r="A12" s="89">
        <v>1.7</v>
      </c>
      <c r="B12" s="96" t="s">
        <v>27</v>
      </c>
      <c r="C12" s="91">
        <f t="shared" si="0"/>
        <v>4.88</v>
      </c>
      <c r="D12" s="94"/>
      <c r="E12" s="95"/>
      <c r="F12" s="94"/>
      <c r="G12" s="92">
        <f t="shared" si="1"/>
        <v>4.88</v>
      </c>
      <c r="H12" s="93" t="s">
        <v>23</v>
      </c>
      <c r="I12" s="93">
        <v>244</v>
      </c>
      <c r="J12" s="116">
        <v>200</v>
      </c>
    </row>
    <row r="13" s="61" customFormat="1" ht="30" customHeight="1" spans="1:10">
      <c r="A13" s="89">
        <v>1.8</v>
      </c>
      <c r="B13" s="96" t="s">
        <v>28</v>
      </c>
      <c r="C13" s="91">
        <f t="shared" si="0"/>
        <v>0.29</v>
      </c>
      <c r="D13" s="94"/>
      <c r="E13" s="95"/>
      <c r="F13" s="94"/>
      <c r="G13" s="92">
        <v>0.29</v>
      </c>
      <c r="H13" s="93" t="s">
        <v>23</v>
      </c>
      <c r="I13" s="93">
        <v>593</v>
      </c>
      <c r="J13" s="116">
        <f>G13/I13*10000</f>
        <v>4.89038785834739</v>
      </c>
    </row>
    <row r="14" s="61" customFormat="1" ht="30" customHeight="1" spans="1:10">
      <c r="A14" s="89">
        <v>1.9</v>
      </c>
      <c r="B14" s="96" t="s">
        <v>29</v>
      </c>
      <c r="C14" s="91">
        <f t="shared" si="0"/>
        <v>9.56</v>
      </c>
      <c r="D14" s="94"/>
      <c r="E14" s="95"/>
      <c r="F14" s="94"/>
      <c r="G14" s="92">
        <v>9.56</v>
      </c>
      <c r="H14" s="93" t="s">
        <v>25</v>
      </c>
      <c r="I14" s="93">
        <f>1211+381.5</f>
        <v>1592.5</v>
      </c>
      <c r="J14" s="116">
        <f>G14/I14*10000</f>
        <v>60.0313971742543</v>
      </c>
    </row>
    <row r="15" s="61" customFormat="1" ht="30" customHeight="1" spans="1:10">
      <c r="A15" s="93">
        <v>1.1</v>
      </c>
      <c r="B15" s="96" t="s">
        <v>30</v>
      </c>
      <c r="C15" s="91">
        <f t="shared" si="0"/>
        <v>0.53</v>
      </c>
      <c r="D15" s="94"/>
      <c r="E15" s="95"/>
      <c r="F15" s="94"/>
      <c r="G15" s="92">
        <v>0.53</v>
      </c>
      <c r="H15" s="93" t="s">
        <v>25</v>
      </c>
      <c r="I15" s="93">
        <v>178</v>
      </c>
      <c r="J15" s="116">
        <f>G15/I15*10000</f>
        <v>29.7752808988764</v>
      </c>
    </row>
    <row r="16" s="61" customFormat="1" ht="30" customHeight="1" spans="1:10">
      <c r="A16" s="93">
        <v>1.11</v>
      </c>
      <c r="B16" s="96" t="s">
        <v>31</v>
      </c>
      <c r="C16" s="91">
        <f t="shared" si="0"/>
        <v>2.28</v>
      </c>
      <c r="D16" s="94"/>
      <c r="E16" s="95"/>
      <c r="F16" s="94"/>
      <c r="G16" s="92">
        <f t="shared" si="1"/>
        <v>2.28</v>
      </c>
      <c r="H16" s="93" t="s">
        <v>32</v>
      </c>
      <c r="I16" s="93">
        <v>6</v>
      </c>
      <c r="J16" s="116">
        <v>3800</v>
      </c>
    </row>
    <row r="17" s="61" customFormat="1" ht="30" customHeight="1" spans="1:10">
      <c r="A17" s="93"/>
      <c r="B17" s="96" t="s">
        <v>33</v>
      </c>
      <c r="C17" s="91">
        <f>SUM(C6:C16)</f>
        <v>147.764</v>
      </c>
      <c r="D17" s="94"/>
      <c r="E17" s="95"/>
      <c r="F17" s="94"/>
      <c r="G17" s="92">
        <f>SUM(G6:G16)</f>
        <v>147.764</v>
      </c>
      <c r="H17" s="93" t="s">
        <v>15</v>
      </c>
      <c r="I17" s="93"/>
      <c r="J17" s="116"/>
    </row>
    <row r="18" s="60" customFormat="1" ht="30" customHeight="1" spans="1:12">
      <c r="A18" s="81">
        <v>2</v>
      </c>
      <c r="B18" s="85" t="s">
        <v>34</v>
      </c>
      <c r="C18" s="86">
        <f>C24</f>
        <v>25.13744</v>
      </c>
      <c r="D18" s="83"/>
      <c r="E18" s="87"/>
      <c r="F18" s="83"/>
      <c r="G18" s="88">
        <f>G24</f>
        <v>25.13744</v>
      </c>
      <c r="H18" s="84"/>
      <c r="I18" s="84"/>
      <c r="J18" s="117"/>
      <c r="L18" s="60">
        <f>SUM(G19:G23)</f>
        <v>25.13744</v>
      </c>
    </row>
    <row r="19" s="61" customFormat="1" ht="30" customHeight="1" spans="1:10">
      <c r="A19" s="89">
        <v>2.1</v>
      </c>
      <c r="B19" s="96" t="s">
        <v>35</v>
      </c>
      <c r="C19" s="91">
        <f>G19</f>
        <v>7.31744</v>
      </c>
      <c r="D19" s="94"/>
      <c r="E19" s="95"/>
      <c r="F19" s="94"/>
      <c r="G19" s="92">
        <f>I19*J19/10000</f>
        <v>7.31744</v>
      </c>
      <c r="H19" s="93" t="s">
        <v>18</v>
      </c>
      <c r="I19" s="93">
        <v>17.59</v>
      </c>
      <c r="J19" s="116">
        <v>4160</v>
      </c>
    </row>
    <row r="20" s="61" customFormat="1" ht="30" customHeight="1" spans="1:10">
      <c r="A20" s="89">
        <v>2.2</v>
      </c>
      <c r="B20" s="96" t="s">
        <v>36</v>
      </c>
      <c r="C20" s="91">
        <f>G20</f>
        <v>4.16</v>
      </c>
      <c r="D20" s="94"/>
      <c r="E20" s="95"/>
      <c r="F20" s="94"/>
      <c r="G20" s="92">
        <f>I20*J20/10000</f>
        <v>4.16</v>
      </c>
      <c r="H20" s="93" t="s">
        <v>18</v>
      </c>
      <c r="I20" s="93">
        <v>10</v>
      </c>
      <c r="J20" s="116">
        <v>4160</v>
      </c>
    </row>
    <row r="21" s="61" customFormat="1" ht="30" customHeight="1" spans="1:10">
      <c r="A21" s="89">
        <v>2.3</v>
      </c>
      <c r="B21" s="96" t="s">
        <v>37</v>
      </c>
      <c r="C21" s="91">
        <f>G21</f>
        <v>4.16</v>
      </c>
      <c r="D21" s="94"/>
      <c r="E21" s="95"/>
      <c r="F21" s="94"/>
      <c r="G21" s="92">
        <f>I21*J21/10000</f>
        <v>4.16</v>
      </c>
      <c r="H21" s="93" t="s">
        <v>18</v>
      </c>
      <c r="I21" s="93">
        <v>10</v>
      </c>
      <c r="J21" s="116">
        <v>4160</v>
      </c>
    </row>
    <row r="22" s="61" customFormat="1" ht="30" customHeight="1" spans="1:10">
      <c r="A22" s="89">
        <v>2.4</v>
      </c>
      <c r="B22" s="96" t="s">
        <v>38</v>
      </c>
      <c r="C22" s="91">
        <f>G22</f>
        <v>8</v>
      </c>
      <c r="D22" s="94"/>
      <c r="E22" s="95"/>
      <c r="F22" s="94"/>
      <c r="G22" s="92">
        <v>8</v>
      </c>
      <c r="H22" s="93" t="s">
        <v>39</v>
      </c>
      <c r="I22" s="93">
        <v>1</v>
      </c>
      <c r="J22" s="116"/>
    </row>
    <row r="23" s="61" customFormat="1" ht="30" customHeight="1" spans="1:10">
      <c r="A23" s="89">
        <v>2.5</v>
      </c>
      <c r="B23" s="96" t="s">
        <v>40</v>
      </c>
      <c r="C23" s="91">
        <f>G23</f>
        <v>1.5</v>
      </c>
      <c r="D23" s="94"/>
      <c r="E23" s="95"/>
      <c r="F23" s="94"/>
      <c r="G23" s="92">
        <v>1.5</v>
      </c>
      <c r="H23" s="93" t="s">
        <v>15</v>
      </c>
      <c r="I23" s="93"/>
      <c r="J23" s="116"/>
    </row>
    <row r="24" s="61" customFormat="1" ht="30" customHeight="1" spans="1:12">
      <c r="A24" s="93"/>
      <c r="B24" s="96" t="s">
        <v>33</v>
      </c>
      <c r="C24" s="91">
        <f>SUM(C19:C23)</f>
        <v>25.13744</v>
      </c>
      <c r="D24" s="94"/>
      <c r="E24" s="95"/>
      <c r="F24" s="94"/>
      <c r="G24" s="92">
        <f>SUM(G19:G23)</f>
        <v>25.13744</v>
      </c>
      <c r="H24" s="93" t="s">
        <v>15</v>
      </c>
      <c r="I24" s="93"/>
      <c r="J24" s="116"/>
      <c r="L24" s="61">
        <f>SUM(L25,L36)</f>
        <v>68.6</v>
      </c>
    </row>
    <row r="25" s="61" customFormat="1" ht="30" customHeight="1" spans="1:12">
      <c r="A25" s="81">
        <v>3</v>
      </c>
      <c r="B25" s="97" t="s">
        <v>41</v>
      </c>
      <c r="C25" s="86">
        <f>C35+C40</f>
        <v>68.6</v>
      </c>
      <c r="D25" s="86"/>
      <c r="E25" s="86"/>
      <c r="F25" s="83"/>
      <c r="G25" s="88">
        <f>C25</f>
        <v>68.6</v>
      </c>
      <c r="H25" s="84" t="s">
        <v>15</v>
      </c>
      <c r="I25" s="84"/>
      <c r="J25" s="116"/>
      <c r="L25" s="61">
        <f>SUM(G26:G34)</f>
        <v>51.37</v>
      </c>
    </row>
    <row r="26" s="61" customFormat="1" ht="30" customHeight="1" spans="1:10">
      <c r="A26" s="89">
        <v>3.1</v>
      </c>
      <c r="B26" s="96" t="s">
        <v>42</v>
      </c>
      <c r="C26" s="91">
        <f t="shared" ref="C26:C34" si="2">G26</f>
        <v>0.98</v>
      </c>
      <c r="D26" s="94"/>
      <c r="E26" s="95"/>
      <c r="F26" s="94"/>
      <c r="G26" s="92">
        <v>0.98</v>
      </c>
      <c r="H26" s="93" t="s">
        <v>23</v>
      </c>
      <c r="I26" s="93">
        <v>15</v>
      </c>
      <c r="J26" s="116">
        <f t="shared" ref="J26:J33" si="3">G26/I26*10000</f>
        <v>653.333333333333</v>
      </c>
    </row>
    <row r="27" s="62" customFormat="1" ht="30" customHeight="1" spans="1:11">
      <c r="A27" s="123">
        <v>3.2</v>
      </c>
      <c r="B27" s="124" t="s">
        <v>43</v>
      </c>
      <c r="C27" s="125">
        <f t="shared" si="2"/>
        <v>6.98</v>
      </c>
      <c r="D27" s="126"/>
      <c r="E27" s="127"/>
      <c r="F27" s="126"/>
      <c r="G27" s="128">
        <v>6.98</v>
      </c>
      <c r="H27" s="129" t="s">
        <v>23</v>
      </c>
      <c r="I27" s="129">
        <v>65</v>
      </c>
      <c r="J27" s="132">
        <f t="shared" si="3"/>
        <v>1073.84615384615</v>
      </c>
      <c r="K27" s="62" t="s">
        <v>82</v>
      </c>
    </row>
    <row r="28" s="61" customFormat="1" ht="30" customHeight="1" spans="1:10">
      <c r="A28" s="89">
        <v>3.3</v>
      </c>
      <c r="B28" s="96" t="s">
        <v>44</v>
      </c>
      <c r="C28" s="91">
        <f t="shared" si="2"/>
        <v>8.11</v>
      </c>
      <c r="D28" s="94"/>
      <c r="E28" s="95"/>
      <c r="F28" s="94"/>
      <c r="G28" s="92">
        <v>8.11</v>
      </c>
      <c r="H28" s="93" t="s">
        <v>23</v>
      </c>
      <c r="I28" s="93">
        <v>75</v>
      </c>
      <c r="J28" s="116">
        <f t="shared" si="3"/>
        <v>1081.33333333333</v>
      </c>
    </row>
    <row r="29" s="61" customFormat="1" ht="30" customHeight="1" spans="1:10">
      <c r="A29" s="89">
        <v>3.4</v>
      </c>
      <c r="B29" s="96" t="s">
        <v>45</v>
      </c>
      <c r="C29" s="91">
        <f t="shared" si="2"/>
        <v>27.4</v>
      </c>
      <c r="D29" s="94"/>
      <c r="E29" s="95"/>
      <c r="F29" s="94"/>
      <c r="G29" s="92">
        <v>27.4</v>
      </c>
      <c r="H29" s="93" t="s">
        <v>23</v>
      </c>
      <c r="I29" s="93">
        <v>320</v>
      </c>
      <c r="J29" s="116">
        <f t="shared" si="3"/>
        <v>856.25</v>
      </c>
    </row>
    <row r="30" s="61" customFormat="1" ht="30" customHeight="1" spans="1:10">
      <c r="A30" s="89">
        <v>3.5</v>
      </c>
      <c r="B30" s="90" t="s">
        <v>46</v>
      </c>
      <c r="C30" s="91">
        <f t="shared" si="2"/>
        <v>3.55</v>
      </c>
      <c r="D30" s="91"/>
      <c r="E30" s="91"/>
      <c r="F30" s="94"/>
      <c r="G30" s="92">
        <v>3.55</v>
      </c>
      <c r="H30" s="93" t="s">
        <v>39</v>
      </c>
      <c r="I30" s="93">
        <v>8</v>
      </c>
      <c r="J30" s="93">
        <f t="shared" si="3"/>
        <v>4437.5</v>
      </c>
    </row>
    <row r="31" s="61" customFormat="1" ht="30" customHeight="1" spans="1:10">
      <c r="A31" s="89">
        <v>3.6</v>
      </c>
      <c r="B31" s="90" t="s">
        <v>47</v>
      </c>
      <c r="C31" s="91">
        <f t="shared" si="2"/>
        <v>0.93</v>
      </c>
      <c r="D31" s="91"/>
      <c r="E31" s="91"/>
      <c r="F31" s="94"/>
      <c r="G31" s="92">
        <v>0.93</v>
      </c>
      <c r="H31" s="93" t="s">
        <v>39</v>
      </c>
      <c r="I31" s="93">
        <v>2</v>
      </c>
      <c r="J31" s="93">
        <f t="shared" si="3"/>
        <v>4650</v>
      </c>
    </row>
    <row r="32" s="61" customFormat="1" ht="30" customHeight="1" spans="1:10">
      <c r="A32" s="89">
        <v>3.7</v>
      </c>
      <c r="B32" s="90" t="s">
        <v>48</v>
      </c>
      <c r="C32" s="91">
        <f t="shared" si="2"/>
        <v>1.74</v>
      </c>
      <c r="D32" s="91"/>
      <c r="E32" s="91"/>
      <c r="F32" s="94"/>
      <c r="G32" s="92">
        <v>1.74</v>
      </c>
      <c r="H32" s="93" t="s">
        <v>39</v>
      </c>
      <c r="I32" s="93">
        <v>2</v>
      </c>
      <c r="J32" s="93">
        <f t="shared" si="3"/>
        <v>8700</v>
      </c>
    </row>
    <row r="33" s="61" customFormat="1" ht="30" customHeight="1" spans="1:10">
      <c r="A33" s="89">
        <v>3.8</v>
      </c>
      <c r="B33" s="90" t="s">
        <v>49</v>
      </c>
      <c r="C33" s="91">
        <f t="shared" si="2"/>
        <v>0.88</v>
      </c>
      <c r="D33" s="94"/>
      <c r="E33" s="95"/>
      <c r="F33" s="94"/>
      <c r="G33" s="92">
        <v>0.88</v>
      </c>
      <c r="H33" s="93" t="s">
        <v>50</v>
      </c>
      <c r="I33" s="93">
        <v>6</v>
      </c>
      <c r="J33" s="93">
        <f t="shared" si="3"/>
        <v>1466.66666666667</v>
      </c>
    </row>
    <row r="34" s="61" customFormat="1" ht="30" customHeight="1" spans="1:11">
      <c r="A34" s="89">
        <v>3.9</v>
      </c>
      <c r="B34" s="90" t="s">
        <v>51</v>
      </c>
      <c r="C34" s="91">
        <f t="shared" si="2"/>
        <v>0.8</v>
      </c>
      <c r="D34" s="94"/>
      <c r="E34" s="95"/>
      <c r="F34" s="94"/>
      <c r="G34" s="92">
        <f>I34*J34/10000</f>
        <v>0.8</v>
      </c>
      <c r="H34" s="93" t="s">
        <v>23</v>
      </c>
      <c r="I34" s="93">
        <v>20</v>
      </c>
      <c r="J34" s="93">
        <v>400</v>
      </c>
      <c r="K34" s="62" t="s">
        <v>82</v>
      </c>
    </row>
    <row r="35" s="61" customFormat="1" ht="30" customHeight="1" spans="1:10">
      <c r="A35" s="93"/>
      <c r="B35" s="96" t="s">
        <v>33</v>
      </c>
      <c r="C35" s="91">
        <f>SUM(C26:C34)</f>
        <v>51.37</v>
      </c>
      <c r="D35" s="94"/>
      <c r="E35" s="95"/>
      <c r="F35" s="94"/>
      <c r="G35" s="92">
        <f>SUM(G26:G34)</f>
        <v>51.37</v>
      </c>
      <c r="H35" s="93" t="s">
        <v>15</v>
      </c>
      <c r="I35" s="93"/>
      <c r="J35" s="116"/>
    </row>
    <row r="36" s="61" customFormat="1" ht="30" customHeight="1" spans="1:12">
      <c r="A36" s="89">
        <v>3.1</v>
      </c>
      <c r="B36" s="90" t="s">
        <v>52</v>
      </c>
      <c r="C36" s="91">
        <f>G36</f>
        <v>0.36</v>
      </c>
      <c r="D36" s="94"/>
      <c r="E36" s="95"/>
      <c r="F36" s="94"/>
      <c r="G36" s="92">
        <f>I36*J36/10000</f>
        <v>0.36</v>
      </c>
      <c r="H36" s="93" t="s">
        <v>23</v>
      </c>
      <c r="I36" s="93">
        <v>8</v>
      </c>
      <c r="J36" s="93">
        <v>450</v>
      </c>
      <c r="K36" s="62" t="s">
        <v>82</v>
      </c>
      <c r="L36" s="61">
        <f>SUM(G36:G39)</f>
        <v>17.23</v>
      </c>
    </row>
    <row r="37" s="61" customFormat="1" ht="30" customHeight="1" spans="1:11">
      <c r="A37" s="89">
        <v>3.2</v>
      </c>
      <c r="B37" s="96" t="s">
        <v>53</v>
      </c>
      <c r="C37" s="91">
        <f>G37</f>
        <v>3.19</v>
      </c>
      <c r="D37" s="94"/>
      <c r="E37" s="95"/>
      <c r="F37" s="94"/>
      <c r="G37" s="92">
        <v>3.19</v>
      </c>
      <c r="H37" s="93" t="s">
        <v>23</v>
      </c>
      <c r="I37" s="93">
        <v>27</v>
      </c>
      <c r="J37" s="116">
        <f>G37/I37*10000</f>
        <v>1181.48148148148</v>
      </c>
      <c r="K37" s="62" t="s">
        <v>83</v>
      </c>
    </row>
    <row r="38" s="61" customFormat="1" ht="30" customHeight="1" spans="1:11">
      <c r="A38" s="89">
        <v>3.3</v>
      </c>
      <c r="B38" s="96" t="s">
        <v>45</v>
      </c>
      <c r="C38" s="91">
        <f>G38</f>
        <v>12.38</v>
      </c>
      <c r="D38" s="94"/>
      <c r="E38" s="95"/>
      <c r="F38" s="94"/>
      <c r="G38" s="92">
        <v>12.38</v>
      </c>
      <c r="H38" s="93" t="s">
        <v>23</v>
      </c>
      <c r="I38" s="93">
        <v>90</v>
      </c>
      <c r="J38" s="116">
        <f>G38/I38*10000</f>
        <v>1375.55555555556</v>
      </c>
      <c r="K38" s="62" t="s">
        <v>84</v>
      </c>
    </row>
    <row r="39" s="61" customFormat="1" ht="30" customHeight="1" spans="1:11">
      <c r="A39" s="89">
        <v>3.4</v>
      </c>
      <c r="B39" s="90" t="s">
        <v>54</v>
      </c>
      <c r="C39" s="91">
        <f>G39</f>
        <v>1.3</v>
      </c>
      <c r="D39" s="91"/>
      <c r="E39" s="91"/>
      <c r="F39" s="94"/>
      <c r="G39" s="92">
        <v>1.3</v>
      </c>
      <c r="H39" s="93" t="s">
        <v>39</v>
      </c>
      <c r="I39" s="93">
        <v>3</v>
      </c>
      <c r="J39" s="93">
        <f>G39/I39*10000</f>
        <v>4333.33333333333</v>
      </c>
      <c r="K39" s="61" t="s">
        <v>85</v>
      </c>
    </row>
    <row r="40" s="61" customFormat="1" ht="30" customHeight="1" spans="1:10">
      <c r="A40" s="93"/>
      <c r="B40" s="96" t="s">
        <v>33</v>
      </c>
      <c r="C40" s="91">
        <f>SUM(C36:C39)</f>
        <v>17.23</v>
      </c>
      <c r="D40" s="91"/>
      <c r="E40" s="91"/>
      <c r="F40" s="94"/>
      <c r="G40" s="92">
        <f>SUM(G36:G39)</f>
        <v>17.23</v>
      </c>
      <c r="H40" s="93" t="s">
        <v>15</v>
      </c>
      <c r="I40" s="93"/>
      <c r="J40" s="116"/>
    </row>
    <row r="41" s="61" customFormat="1" ht="30" customHeight="1" spans="1:10">
      <c r="A41" s="93"/>
      <c r="B41" s="96"/>
      <c r="C41" s="91"/>
      <c r="D41" s="91"/>
      <c r="E41" s="91"/>
      <c r="F41" s="94"/>
      <c r="G41" s="92"/>
      <c r="H41" s="93"/>
      <c r="I41" s="93"/>
      <c r="J41" s="116"/>
    </row>
    <row r="42" s="61" customFormat="1" ht="30" customHeight="1" spans="1:10">
      <c r="A42" s="81">
        <v>5</v>
      </c>
      <c r="B42" s="97" t="s">
        <v>55</v>
      </c>
      <c r="C42" s="86">
        <f>C48</f>
        <v>9.21</v>
      </c>
      <c r="D42" s="86">
        <f>D48</f>
        <v>0</v>
      </c>
      <c r="E42" s="86">
        <f>E48</f>
        <v>1.45</v>
      </c>
      <c r="F42" s="83"/>
      <c r="G42" s="88">
        <f>C42+D42+E42</f>
        <v>10.66</v>
      </c>
      <c r="H42" s="84" t="s">
        <v>15</v>
      </c>
      <c r="I42" s="84"/>
      <c r="J42" s="116"/>
    </row>
    <row r="43" s="62" customFormat="1" ht="30" customHeight="1" spans="1:10">
      <c r="A43" s="89">
        <v>5.1</v>
      </c>
      <c r="B43" s="96" t="s">
        <v>56</v>
      </c>
      <c r="C43" s="91">
        <v>0.13</v>
      </c>
      <c r="D43" s="94"/>
      <c r="E43" s="95">
        <v>0.2</v>
      </c>
      <c r="F43" s="94"/>
      <c r="G43" s="92">
        <f>C43+D43+E43</f>
        <v>0.33</v>
      </c>
      <c r="H43" s="93" t="s">
        <v>23</v>
      </c>
      <c r="I43" s="93">
        <v>5</v>
      </c>
      <c r="J43" s="116">
        <f>G43/I43*10000</f>
        <v>660</v>
      </c>
    </row>
    <row r="44" s="61" customFormat="1" ht="30" customHeight="1" spans="1:10">
      <c r="A44" s="89">
        <v>5.2</v>
      </c>
      <c r="B44" s="96" t="s">
        <v>57</v>
      </c>
      <c r="C44" s="91">
        <v>5.62</v>
      </c>
      <c r="D44" s="94"/>
      <c r="E44" s="95">
        <v>1.25</v>
      </c>
      <c r="F44" s="94"/>
      <c r="G44" s="92">
        <f>C44+D44+E44</f>
        <v>6.87</v>
      </c>
      <c r="H44" s="93" t="s">
        <v>23</v>
      </c>
      <c r="I44" s="93">
        <v>310</v>
      </c>
      <c r="J44" s="116">
        <f>G44/I44*10000</f>
        <v>221.612903225806</v>
      </c>
    </row>
    <row r="45" s="61" customFormat="1" ht="30" customHeight="1" spans="1:10">
      <c r="A45" s="89">
        <v>5.3</v>
      </c>
      <c r="B45" s="90" t="s">
        <v>58</v>
      </c>
      <c r="C45" s="91">
        <f>G45</f>
        <v>0.72</v>
      </c>
      <c r="D45" s="91"/>
      <c r="E45" s="91"/>
      <c r="F45" s="94"/>
      <c r="G45" s="92">
        <v>0.72</v>
      </c>
      <c r="H45" s="93" t="s">
        <v>39</v>
      </c>
      <c r="I45" s="93">
        <v>1</v>
      </c>
      <c r="J45" s="93">
        <f>G45/I45*10000</f>
        <v>7200</v>
      </c>
    </row>
    <row r="46" s="61" customFormat="1" ht="30" customHeight="1" spans="1:10">
      <c r="A46" s="89">
        <v>5.4</v>
      </c>
      <c r="B46" s="90" t="s">
        <v>59</v>
      </c>
      <c r="C46" s="91">
        <f>G46</f>
        <v>0.71</v>
      </c>
      <c r="D46" s="91"/>
      <c r="E46" s="91"/>
      <c r="F46" s="94"/>
      <c r="G46" s="92">
        <v>0.71</v>
      </c>
      <c r="H46" s="93" t="s">
        <v>39</v>
      </c>
      <c r="I46" s="93">
        <v>2</v>
      </c>
      <c r="J46" s="93">
        <f>G46/I46*10000</f>
        <v>3550</v>
      </c>
    </row>
    <row r="47" s="61" customFormat="1" ht="30" customHeight="1" spans="1:10">
      <c r="A47" s="89">
        <v>5.5</v>
      </c>
      <c r="B47" s="90" t="s">
        <v>60</v>
      </c>
      <c r="C47" s="91">
        <f>G47</f>
        <v>2.03</v>
      </c>
      <c r="D47" s="91"/>
      <c r="E47" s="91"/>
      <c r="F47" s="94"/>
      <c r="G47" s="92">
        <v>2.03</v>
      </c>
      <c r="H47" s="93" t="s">
        <v>15</v>
      </c>
      <c r="I47" s="93"/>
      <c r="J47" s="93"/>
    </row>
    <row r="48" s="61" customFormat="1" ht="30" customHeight="1" spans="1:10">
      <c r="A48" s="93"/>
      <c r="B48" s="96" t="s">
        <v>33</v>
      </c>
      <c r="C48" s="91">
        <f>SUM(C43:C47)</f>
        <v>9.21</v>
      </c>
      <c r="D48" s="91">
        <f>SUM(D43:D47)</f>
        <v>0</v>
      </c>
      <c r="E48" s="91">
        <f>SUM(E43:E47)</f>
        <v>1.45</v>
      </c>
      <c r="F48" s="94"/>
      <c r="G48" s="92">
        <f>SUM(G43:G47)</f>
        <v>10.66</v>
      </c>
      <c r="H48" s="93" t="s">
        <v>15</v>
      </c>
      <c r="I48" s="93"/>
      <c r="J48" s="116"/>
    </row>
    <row r="49" s="61" customFormat="1" ht="30" customHeight="1" spans="1:10">
      <c r="A49" s="81">
        <v>6</v>
      </c>
      <c r="B49" s="85" t="s">
        <v>61</v>
      </c>
      <c r="C49" s="86">
        <f>I49*J49/10000</f>
        <v>16.74</v>
      </c>
      <c r="D49" s="86"/>
      <c r="E49" s="86"/>
      <c r="F49" s="83"/>
      <c r="G49" s="88">
        <f>I49*J49/10000</f>
        <v>16.74</v>
      </c>
      <c r="H49" s="84" t="s">
        <v>62</v>
      </c>
      <c r="I49" s="84">
        <v>18</v>
      </c>
      <c r="J49" s="84">
        <v>9300</v>
      </c>
    </row>
    <row r="50" s="60" customFormat="1" ht="30" customHeight="1" spans="1:10">
      <c r="A50" s="81"/>
      <c r="B50" s="85"/>
      <c r="C50" s="86"/>
      <c r="D50" s="86"/>
      <c r="E50" s="86"/>
      <c r="F50" s="83"/>
      <c r="G50" s="88"/>
      <c r="H50" s="84"/>
      <c r="I50" s="84"/>
      <c r="J50" s="117"/>
    </row>
    <row r="51" s="60" customFormat="1" ht="29.1" customHeight="1" spans="1:19">
      <c r="A51" s="98" t="s">
        <v>63</v>
      </c>
      <c r="B51" s="82" t="s">
        <v>64</v>
      </c>
      <c r="C51" s="83">
        <f>C63</f>
        <v>46.3494574266667</v>
      </c>
      <c r="D51" s="83"/>
      <c r="E51" s="83"/>
      <c r="F51" s="83"/>
      <c r="G51" s="88">
        <f>C51</f>
        <v>46.3494574266667</v>
      </c>
      <c r="H51" s="84" t="s">
        <v>15</v>
      </c>
      <c r="I51" s="84"/>
      <c r="J51" s="83"/>
      <c r="M51" s="61"/>
      <c r="N51" s="61"/>
      <c r="O51" s="61"/>
      <c r="P51" s="61"/>
      <c r="Q51" s="61"/>
      <c r="R51" s="61"/>
      <c r="S51" s="61"/>
    </row>
    <row r="52" s="61" customFormat="1" ht="30" customHeight="1" spans="1:13">
      <c r="A52" s="99">
        <v>1</v>
      </c>
      <c r="B52" s="100" t="s">
        <v>65</v>
      </c>
      <c r="C52" s="94">
        <f t="shared" ref="C52:C62" si="4">G52</f>
        <v>4.43685</v>
      </c>
      <c r="D52" s="94"/>
      <c r="E52" s="94"/>
      <c r="F52" s="94"/>
      <c r="G52" s="92">
        <f>I52*0.033*0.5</f>
        <v>4.43685</v>
      </c>
      <c r="H52" s="93" t="s">
        <v>15</v>
      </c>
      <c r="I52" s="93">
        <v>268.9</v>
      </c>
      <c r="J52" s="118">
        <f>G52/I52</f>
        <v>0.0165</v>
      </c>
      <c r="L52" s="60"/>
      <c r="M52" s="60"/>
    </row>
    <row r="53" s="60" customFormat="1" ht="30" customHeight="1" spans="1:21">
      <c r="A53" s="99">
        <v>2</v>
      </c>
      <c r="B53" s="100" t="s">
        <v>66</v>
      </c>
      <c r="C53" s="94">
        <f t="shared" si="4"/>
        <v>0.578135</v>
      </c>
      <c r="D53" s="94"/>
      <c r="E53" s="94"/>
      <c r="F53" s="94"/>
      <c r="G53" s="92">
        <f>I53*0.43%*0.5</f>
        <v>0.578135</v>
      </c>
      <c r="H53" s="93" t="s">
        <v>15</v>
      </c>
      <c r="I53" s="93">
        <f>I52</f>
        <v>268.9</v>
      </c>
      <c r="J53" s="118">
        <f>G53/I53</f>
        <v>0.00215</v>
      </c>
      <c r="N53" s="61"/>
      <c r="O53" s="61"/>
      <c r="P53" s="61"/>
      <c r="Q53" s="61"/>
      <c r="R53" s="61"/>
      <c r="S53" s="61"/>
      <c r="T53" s="61"/>
      <c r="U53" s="61"/>
    </row>
    <row r="54" s="60" customFormat="1" ht="30" customHeight="1" spans="1:21">
      <c r="A54" s="99">
        <v>3</v>
      </c>
      <c r="B54" s="100" t="s">
        <v>67</v>
      </c>
      <c r="C54" s="94">
        <f t="shared" si="4"/>
        <v>0.40335</v>
      </c>
      <c r="D54" s="94"/>
      <c r="E54" s="94"/>
      <c r="F54" s="94"/>
      <c r="G54" s="92">
        <f>I54*J54</f>
        <v>0.40335</v>
      </c>
      <c r="H54" s="93" t="s">
        <v>15</v>
      </c>
      <c r="I54" s="93">
        <f>I52</f>
        <v>268.9</v>
      </c>
      <c r="J54" s="118">
        <v>0.0015</v>
      </c>
      <c r="N54" s="61"/>
      <c r="O54" s="61"/>
      <c r="P54" s="61"/>
      <c r="Q54" s="61"/>
      <c r="R54" s="61"/>
      <c r="S54" s="61"/>
      <c r="T54" s="61"/>
      <c r="U54" s="61"/>
    </row>
    <row r="55" s="60" customFormat="1" ht="30" customHeight="1" spans="1:21">
      <c r="A55" s="99">
        <v>4</v>
      </c>
      <c r="B55" s="100" t="s">
        <v>68</v>
      </c>
      <c r="C55" s="94">
        <f t="shared" si="4"/>
        <v>0.40335</v>
      </c>
      <c r="D55" s="94"/>
      <c r="E55" s="94"/>
      <c r="F55" s="94"/>
      <c r="G55" s="92">
        <f>I55*J55</f>
        <v>0.40335</v>
      </c>
      <c r="H55" s="93" t="s">
        <v>15</v>
      </c>
      <c r="I55" s="93">
        <f>I52</f>
        <v>268.9</v>
      </c>
      <c r="J55" s="118">
        <v>0.0015</v>
      </c>
      <c r="N55" s="61"/>
      <c r="O55" s="61"/>
      <c r="P55" s="61"/>
      <c r="Q55" s="61"/>
      <c r="R55" s="61"/>
      <c r="S55" s="61"/>
      <c r="T55" s="61"/>
      <c r="U55" s="61"/>
    </row>
    <row r="56" s="61" customFormat="1" ht="30" customHeight="1" spans="1:14">
      <c r="A56" s="99">
        <v>5</v>
      </c>
      <c r="B56" s="100" t="s">
        <v>69</v>
      </c>
      <c r="C56" s="94">
        <f t="shared" si="4"/>
        <v>6.94212242666667</v>
      </c>
      <c r="D56" s="94"/>
      <c r="E56" s="94"/>
      <c r="F56" s="94"/>
      <c r="G56" s="92">
        <f>((I56-200)*(20.9-9)/300+9)*0.5+G4*0.0056*0.5/0.7</f>
        <v>6.94212242666667</v>
      </c>
      <c r="H56" s="93" t="s">
        <v>15</v>
      </c>
      <c r="I56" s="93">
        <f>I52</f>
        <v>268.9</v>
      </c>
      <c r="J56" s="118">
        <f>G56/I56</f>
        <v>0.025816743870088</v>
      </c>
      <c r="L56" s="60"/>
      <c r="M56" s="60"/>
      <c r="N56" s="119"/>
    </row>
    <row r="57" s="61" customFormat="1" ht="30" customHeight="1" spans="1:13">
      <c r="A57" s="99">
        <v>6</v>
      </c>
      <c r="B57" s="100" t="s">
        <v>70</v>
      </c>
      <c r="C57" s="94">
        <f t="shared" si="4"/>
        <v>0.40335</v>
      </c>
      <c r="D57" s="94"/>
      <c r="E57" s="94"/>
      <c r="F57" s="94"/>
      <c r="G57" s="92">
        <f>I57*J57</f>
        <v>0.40335</v>
      </c>
      <c r="H57" s="93" t="s">
        <v>15</v>
      </c>
      <c r="I57" s="93">
        <v>268.9</v>
      </c>
      <c r="J57" s="118">
        <v>0.0015</v>
      </c>
      <c r="L57" s="60"/>
      <c r="M57" s="60"/>
    </row>
    <row r="58" s="61" customFormat="1" ht="30" customHeight="1" spans="1:14">
      <c r="A58" s="99">
        <v>7</v>
      </c>
      <c r="B58" s="101" t="s">
        <v>71</v>
      </c>
      <c r="C58" s="94">
        <f t="shared" si="4"/>
        <v>3</v>
      </c>
      <c r="D58" s="94"/>
      <c r="E58" s="94"/>
      <c r="F58" s="94"/>
      <c r="G58" s="92">
        <v>3</v>
      </c>
      <c r="H58" s="93" t="s">
        <v>15</v>
      </c>
      <c r="I58" s="93">
        <v>268.9</v>
      </c>
      <c r="J58" s="118">
        <f>G58/I58</f>
        <v>0.0111565637783563</v>
      </c>
      <c r="L58" s="60"/>
      <c r="M58" s="60"/>
      <c r="N58" s="119"/>
    </row>
    <row r="59" s="61" customFormat="1" ht="30" customHeight="1" spans="1:13">
      <c r="A59" s="99">
        <v>8</v>
      </c>
      <c r="B59" s="101" t="s">
        <v>72</v>
      </c>
      <c r="C59" s="94">
        <f t="shared" si="4"/>
        <v>2</v>
      </c>
      <c r="D59" s="94"/>
      <c r="E59" s="94"/>
      <c r="F59" s="94"/>
      <c r="G59" s="92">
        <v>2</v>
      </c>
      <c r="H59" s="93" t="s">
        <v>15</v>
      </c>
      <c r="I59" s="93">
        <v>268.9</v>
      </c>
      <c r="J59" s="118">
        <f>G59/I59</f>
        <v>0.00743770918557084</v>
      </c>
      <c r="L59" s="60"/>
      <c r="M59" s="60"/>
    </row>
    <row r="60" s="61" customFormat="1" ht="30" customHeight="1" spans="1:13">
      <c r="A60" s="99">
        <v>9</v>
      </c>
      <c r="B60" s="101" t="s">
        <v>73</v>
      </c>
      <c r="C60" s="94">
        <f t="shared" si="4"/>
        <v>1</v>
      </c>
      <c r="D60" s="94"/>
      <c r="E60" s="94"/>
      <c r="F60" s="94"/>
      <c r="G60" s="94">
        <v>1</v>
      </c>
      <c r="H60" s="93" t="s">
        <v>15</v>
      </c>
      <c r="I60" s="93">
        <f>I56</f>
        <v>268.9</v>
      </c>
      <c r="J60" s="118">
        <f>G60/I60</f>
        <v>0.00371885459278542</v>
      </c>
      <c r="L60" s="60"/>
      <c r="M60" s="60"/>
    </row>
    <row r="61" s="61" customFormat="1" ht="30" customHeight="1" spans="1:13">
      <c r="A61" s="99">
        <v>10</v>
      </c>
      <c r="B61" s="101" t="s">
        <v>74</v>
      </c>
      <c r="C61" s="94">
        <f t="shared" si="4"/>
        <v>2.1823</v>
      </c>
      <c r="D61" s="94"/>
      <c r="E61" s="94"/>
      <c r="F61" s="94"/>
      <c r="G61" s="94">
        <f>((I61-100)*0.7%+1)</f>
        <v>2.1823</v>
      </c>
      <c r="H61" s="93" t="s">
        <v>15</v>
      </c>
      <c r="I61" s="93">
        <f>I60</f>
        <v>268.9</v>
      </c>
      <c r="J61" s="118">
        <f>G61/I61</f>
        <v>0.00811565637783563</v>
      </c>
      <c r="L61" s="60"/>
      <c r="M61" s="60"/>
    </row>
    <row r="62" s="62" customFormat="1" ht="30" customHeight="1" spans="1:13">
      <c r="A62" s="130">
        <v>11</v>
      </c>
      <c r="B62" s="131" t="s">
        <v>75</v>
      </c>
      <c r="C62" s="126">
        <f t="shared" si="4"/>
        <v>25</v>
      </c>
      <c r="D62" s="126"/>
      <c r="E62" s="126"/>
      <c r="F62" s="126"/>
      <c r="G62" s="126">
        <v>25</v>
      </c>
      <c r="H62" s="131" t="s">
        <v>15</v>
      </c>
      <c r="I62" s="131"/>
      <c r="J62" s="131"/>
      <c r="L62" s="133"/>
      <c r="M62" s="133"/>
    </row>
    <row r="63" s="61" customFormat="1" ht="30" customHeight="1" spans="1:13">
      <c r="A63" s="102"/>
      <c r="B63" s="101" t="s">
        <v>33</v>
      </c>
      <c r="C63" s="94">
        <f>SUM(C52:C62)</f>
        <v>46.3494574266667</v>
      </c>
      <c r="D63" s="94"/>
      <c r="E63" s="94"/>
      <c r="F63" s="94"/>
      <c r="G63" s="94">
        <f>SUM(G52:G62)</f>
        <v>46.3494574266667</v>
      </c>
      <c r="H63" s="93" t="s">
        <v>15</v>
      </c>
      <c r="I63" s="102"/>
      <c r="J63" s="102"/>
      <c r="L63" s="60"/>
      <c r="M63" s="60"/>
    </row>
    <row r="64" s="63" customFormat="1" ht="30" customHeight="1" spans="1:19">
      <c r="A64" s="103" t="s">
        <v>76</v>
      </c>
      <c r="B64" s="82" t="s">
        <v>77</v>
      </c>
      <c r="C64" s="83">
        <f>G64</f>
        <v>15.7625448713333</v>
      </c>
      <c r="D64" s="83"/>
      <c r="E64" s="83"/>
      <c r="F64" s="83"/>
      <c r="G64" s="88">
        <f>I64*J64</f>
        <v>15.7625448713333</v>
      </c>
      <c r="H64" s="84" t="s">
        <v>15</v>
      </c>
      <c r="I64" s="120">
        <f>G4+G51</f>
        <v>315.250897426667</v>
      </c>
      <c r="J64" s="121">
        <v>0.05</v>
      </c>
      <c r="M64" s="61"/>
      <c r="N64" s="61"/>
      <c r="O64" s="61"/>
      <c r="P64" s="61"/>
      <c r="Q64" s="61"/>
      <c r="R64" s="61"/>
      <c r="S64" s="61"/>
    </row>
    <row r="65" s="64" customFormat="1" ht="30" customHeight="1" spans="1:19">
      <c r="A65" s="103" t="s">
        <v>78</v>
      </c>
      <c r="B65" s="82" t="s">
        <v>79</v>
      </c>
      <c r="C65" s="83">
        <f>C4</f>
        <v>267.45144</v>
      </c>
      <c r="D65" s="83">
        <f>D4</f>
        <v>0</v>
      </c>
      <c r="E65" s="83">
        <f>E4</f>
        <v>1.45</v>
      </c>
      <c r="F65" s="83">
        <f>G64+G51</f>
        <v>62.112002298</v>
      </c>
      <c r="G65" s="83">
        <f>C65+D65+E65+F65</f>
        <v>331.013442298</v>
      </c>
      <c r="H65" s="84" t="s">
        <v>15</v>
      </c>
      <c r="I65" s="84"/>
      <c r="J65" s="83"/>
      <c r="K65" s="64">
        <v>331.01</v>
      </c>
      <c r="M65" s="61"/>
      <c r="N65" s="61"/>
      <c r="O65" s="61"/>
      <c r="P65" s="61"/>
      <c r="Q65" s="61"/>
      <c r="R65" s="61"/>
      <c r="S65" s="61"/>
    </row>
    <row r="66" s="65" customFormat="1" ht="30" customHeight="1" spans="1:19">
      <c r="A66" s="103" t="s">
        <v>80</v>
      </c>
      <c r="B66" s="105" t="s">
        <v>81</v>
      </c>
      <c r="C66" s="106">
        <f>C65/G65</f>
        <v>0.807977579832612</v>
      </c>
      <c r="D66" s="106">
        <f>D65/G65</f>
        <v>0</v>
      </c>
      <c r="E66" s="106">
        <f>E65/G65</f>
        <v>0.00438048675586599</v>
      </c>
      <c r="F66" s="107">
        <f>F65/G65</f>
        <v>0.187641933411522</v>
      </c>
      <c r="G66" s="106">
        <f>SUM(C66:F66)</f>
        <v>1</v>
      </c>
      <c r="H66" s="108"/>
      <c r="I66" s="120"/>
      <c r="J66" s="122"/>
      <c r="M66" s="61"/>
      <c r="N66" s="61"/>
      <c r="O66" s="61"/>
      <c r="P66" s="61"/>
      <c r="Q66" s="61"/>
      <c r="R66" s="61"/>
      <c r="S66" s="61"/>
    </row>
    <row r="67" ht="21.95" customHeight="1" spans="1:19">
      <c r="A67" s="109"/>
      <c r="B67" s="110"/>
      <c r="C67" s="110"/>
      <c r="D67" s="111"/>
      <c r="E67" s="112"/>
      <c r="F67" s="113"/>
      <c r="G67" s="113"/>
      <c r="H67" s="114"/>
      <c r="M67" s="61"/>
      <c r="N67" s="61"/>
      <c r="O67" s="61"/>
      <c r="P67" s="61"/>
      <c r="Q67" s="61"/>
      <c r="R67" s="61"/>
      <c r="S67" s="61"/>
    </row>
    <row r="68" ht="21.95" customHeight="1" spans="1:19">
      <c r="A68" s="109"/>
      <c r="B68" s="61"/>
      <c r="C68" s="61"/>
      <c r="D68" s="61"/>
      <c r="E68" s="61"/>
      <c r="F68" s="61"/>
      <c r="G68" s="61"/>
      <c r="H68" s="61"/>
      <c r="I68" s="61"/>
      <c r="M68" s="61"/>
      <c r="N68" s="61"/>
      <c r="O68" s="61"/>
      <c r="P68" s="61"/>
      <c r="Q68" s="61"/>
      <c r="R68" s="61"/>
      <c r="S68" s="61"/>
    </row>
    <row r="69" ht="21.95" customHeight="1" spans="1:8">
      <c r="A69" s="109"/>
      <c r="B69" s="110"/>
      <c r="C69" s="110"/>
      <c r="D69" s="111"/>
      <c r="E69" s="112"/>
      <c r="F69" s="115"/>
      <c r="G69" s="113"/>
      <c r="H69" s="114"/>
    </row>
    <row r="70" ht="21.95" customHeight="1" spans="1:8">
      <c r="A70" s="109"/>
      <c r="B70" s="110"/>
      <c r="C70" s="110"/>
      <c r="D70" s="111"/>
      <c r="E70" s="112"/>
      <c r="F70" s="115"/>
      <c r="G70" s="113"/>
      <c r="H70" s="114"/>
    </row>
    <row r="71" ht="21.95" customHeight="1" spans="1:8">
      <c r="A71" s="109"/>
      <c r="B71" s="110"/>
      <c r="C71" s="110"/>
      <c r="D71" s="111"/>
      <c r="E71" s="112"/>
      <c r="F71" s="115"/>
      <c r="G71" s="113"/>
      <c r="H71" s="114"/>
    </row>
    <row r="72" ht="21.95" customHeight="1" spans="1:8">
      <c r="A72" s="109"/>
      <c r="B72" s="110"/>
      <c r="C72" s="110"/>
      <c r="D72" s="111"/>
      <c r="E72" s="112"/>
      <c r="F72" s="115"/>
      <c r="G72" s="113"/>
      <c r="H72" s="114"/>
    </row>
    <row r="73" ht="21.95" customHeight="1" spans="1:8">
      <c r="A73" s="109"/>
      <c r="B73" s="110"/>
      <c r="C73" s="110"/>
      <c r="D73" s="111"/>
      <c r="E73" s="112"/>
      <c r="F73" s="115"/>
      <c r="G73" s="113"/>
      <c r="H73" s="114"/>
    </row>
    <row r="74" ht="21.95" customHeight="1" spans="1:8">
      <c r="A74" s="109"/>
      <c r="B74" s="110"/>
      <c r="C74" s="110"/>
      <c r="D74" s="111"/>
      <c r="E74" s="112"/>
      <c r="F74" s="115"/>
      <c r="G74" s="113"/>
      <c r="H74" s="114"/>
    </row>
    <row r="75" ht="21.95" customHeight="1" spans="1:8">
      <c r="A75" s="109"/>
      <c r="B75" s="110"/>
      <c r="C75" s="110"/>
      <c r="D75" s="111"/>
      <c r="E75" s="112"/>
      <c r="F75" s="115"/>
      <c r="G75" s="113"/>
      <c r="H75" s="114"/>
    </row>
    <row r="76" ht="21.95" customHeight="1" spans="1:8">
      <c r="A76" s="109"/>
      <c r="B76" s="110"/>
      <c r="C76" s="110"/>
      <c r="D76" s="111"/>
      <c r="E76" s="112"/>
      <c r="F76" s="115"/>
      <c r="G76" s="113"/>
      <c r="H76" s="114"/>
    </row>
    <row r="77" ht="21.95" customHeight="1" spans="1:8">
      <c r="A77" s="109"/>
      <c r="B77" s="110"/>
      <c r="C77" s="110"/>
      <c r="D77" s="111"/>
      <c r="E77" s="112"/>
      <c r="F77" s="115"/>
      <c r="G77" s="113"/>
      <c r="H77" s="114"/>
    </row>
    <row r="78" ht="21.95" customHeight="1" spans="1:8">
      <c r="A78" s="109"/>
      <c r="B78" s="110"/>
      <c r="C78" s="110"/>
      <c r="D78" s="111"/>
      <c r="E78" s="112"/>
      <c r="F78" s="115"/>
      <c r="G78" s="113"/>
      <c r="H78" s="114"/>
    </row>
    <row r="79" ht="21.95" customHeight="1" spans="1:8">
      <c r="A79" s="109"/>
      <c r="B79" s="110"/>
      <c r="C79" s="110"/>
      <c r="D79" s="111"/>
      <c r="E79" s="112"/>
      <c r="F79" s="115"/>
      <c r="G79" s="113"/>
      <c r="H79" s="114"/>
    </row>
    <row r="80" ht="21.95" customHeight="1" spans="1:8">
      <c r="A80" s="109"/>
      <c r="B80" s="110"/>
      <c r="C80" s="110"/>
      <c r="D80" s="111"/>
      <c r="E80" s="112"/>
      <c r="F80" s="115"/>
      <c r="G80" s="113"/>
      <c r="H80" s="114"/>
    </row>
    <row r="81" ht="21.95" customHeight="1" spans="1:8">
      <c r="A81" s="109"/>
      <c r="B81" s="110"/>
      <c r="C81" s="110"/>
      <c r="D81" s="111"/>
      <c r="E81" s="112"/>
      <c r="F81" s="115"/>
      <c r="G81" s="113"/>
      <c r="H81" s="114"/>
    </row>
    <row r="82" ht="21.95" customHeight="1" spans="1:8">
      <c r="A82" s="109"/>
      <c r="B82" s="110"/>
      <c r="C82" s="110"/>
      <c r="D82" s="111"/>
      <c r="E82" s="112"/>
      <c r="F82" s="115"/>
      <c r="G82" s="113"/>
      <c r="H82" s="114"/>
    </row>
    <row r="83" s="66" customFormat="1" ht="21.95" customHeight="1" spans="1:21">
      <c r="A83" s="109"/>
      <c r="B83" s="110"/>
      <c r="C83" s="110"/>
      <c r="D83" s="111"/>
      <c r="E83" s="112"/>
      <c r="F83" s="115"/>
      <c r="G83" s="113"/>
      <c r="H83" s="114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="66" customFormat="1" ht="21.95" customHeight="1" spans="1:21">
      <c r="A84" s="109"/>
      <c r="B84" s="110"/>
      <c r="C84" s="110"/>
      <c r="D84" s="111"/>
      <c r="E84" s="112"/>
      <c r="F84" s="115"/>
      <c r="G84" s="113"/>
      <c r="H84" s="114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="66" customFormat="1" ht="21.95" customHeight="1" spans="1:21">
      <c r="A85" s="109"/>
      <c r="B85" s="110"/>
      <c r="C85" s="110"/>
      <c r="D85" s="111"/>
      <c r="E85" s="112"/>
      <c r="F85" s="115"/>
      <c r="G85" s="113"/>
      <c r="H85" s="114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="66" customFormat="1" ht="21.95" customHeight="1" spans="1:21">
      <c r="A86" s="109"/>
      <c r="B86" s="110"/>
      <c r="C86" s="110"/>
      <c r="D86" s="111"/>
      <c r="E86" s="112"/>
      <c r="F86" s="115"/>
      <c r="G86" s="113"/>
      <c r="H86" s="114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="66" customFormat="1" ht="21.95" customHeight="1" spans="1:21">
      <c r="A87" s="109"/>
      <c r="B87" s="110"/>
      <c r="C87" s="110"/>
      <c r="D87" s="111"/>
      <c r="E87" s="112"/>
      <c r="F87" s="115"/>
      <c r="G87" s="113"/>
      <c r="H87" s="114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="66" customFormat="1" ht="21.95" customHeight="1" spans="1:21">
      <c r="A88" s="109"/>
      <c r="B88" s="110"/>
      <c r="C88" s="110"/>
      <c r="D88" s="111"/>
      <c r="E88" s="112"/>
      <c r="F88" s="115"/>
      <c r="G88" s="113"/>
      <c r="H88" s="114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="66" customFormat="1" ht="21.95" customHeight="1" spans="1:21">
      <c r="A89" s="109"/>
      <c r="B89" s="110"/>
      <c r="C89" s="110"/>
      <c r="D89" s="111"/>
      <c r="E89" s="112"/>
      <c r="F89" s="115"/>
      <c r="G89" s="113"/>
      <c r="H89" s="114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="66" customFormat="1" ht="21.95" customHeight="1" spans="1:21">
      <c r="A90" s="109"/>
      <c r="B90" s="110"/>
      <c r="C90" s="110"/>
      <c r="D90" s="111"/>
      <c r="E90" s="112"/>
      <c r="F90" s="115"/>
      <c r="G90" s="113"/>
      <c r="H90" s="114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="66" customFormat="1" ht="21.95" customHeight="1" spans="1:21">
      <c r="A91" s="109"/>
      <c r="B91" s="110"/>
      <c r="C91" s="110"/>
      <c r="D91" s="111"/>
      <c r="E91" s="112"/>
      <c r="F91" s="115"/>
      <c r="G91" s="113"/>
      <c r="H91" s="11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="66" customFormat="1" ht="21.95" customHeight="1" spans="1:21">
      <c r="A92" s="109"/>
      <c r="B92" s="110"/>
      <c r="C92" s="110"/>
      <c r="D92" s="111"/>
      <c r="E92" s="112"/>
      <c r="F92" s="115"/>
      <c r="G92" s="113"/>
      <c r="H92" s="114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="66" customFormat="1" ht="21.95" customHeight="1" spans="1:21">
      <c r="A93" s="109"/>
      <c r="B93" s="110"/>
      <c r="C93" s="110"/>
      <c r="D93" s="111"/>
      <c r="E93" s="112"/>
      <c r="F93" s="115"/>
      <c r="G93" s="113"/>
      <c r="H93" s="114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="66" customFormat="1" ht="21.95" customHeight="1" spans="1:21">
      <c r="A94" s="109"/>
      <c r="B94" s="110"/>
      <c r="C94" s="110"/>
      <c r="D94" s="111"/>
      <c r="E94" s="112"/>
      <c r="F94" s="115"/>
      <c r="G94" s="113"/>
      <c r="H94" s="114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="66" customFormat="1" ht="21.95" customHeight="1" spans="1:21">
      <c r="A95" s="109"/>
      <c r="B95" s="110"/>
      <c r="C95" s="110"/>
      <c r="D95" s="111"/>
      <c r="E95" s="112"/>
      <c r="F95" s="115"/>
      <c r="G95" s="113"/>
      <c r="H95" s="114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="66" customFormat="1" ht="21.95" customHeight="1" spans="1:21">
      <c r="A96" s="109"/>
      <c r="B96" s="110"/>
      <c r="C96" s="110"/>
      <c r="D96" s="111"/>
      <c r="E96" s="112"/>
      <c r="F96" s="115"/>
      <c r="G96" s="113"/>
      <c r="H96" s="114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="66" customFormat="1" ht="21.95" customHeight="1" spans="1:21">
      <c r="A97" s="109"/>
      <c r="B97" s="110"/>
      <c r="C97" s="110"/>
      <c r="D97" s="111"/>
      <c r="E97" s="112"/>
      <c r="F97" s="115"/>
      <c r="G97" s="113"/>
      <c r="H97" s="114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="66" customFormat="1" ht="21.95" customHeight="1" spans="1:21">
      <c r="A98" s="109"/>
      <c r="B98" s="110"/>
      <c r="C98" s="110"/>
      <c r="D98" s="111"/>
      <c r="E98" s="112"/>
      <c r="F98" s="115"/>
      <c r="G98" s="113"/>
      <c r="H98" s="114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="66" customFormat="1" ht="21.95" customHeight="1" spans="1:21">
      <c r="A99" s="109"/>
      <c r="B99" s="110"/>
      <c r="C99" s="110"/>
      <c r="D99" s="111"/>
      <c r="E99" s="112"/>
      <c r="F99" s="115"/>
      <c r="G99" s="113"/>
      <c r="H99" s="114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="66" customFormat="1" ht="21.95" customHeight="1" spans="1:21">
      <c r="A100" s="109"/>
      <c r="B100" s="110"/>
      <c r="C100" s="110"/>
      <c r="D100" s="111"/>
      <c r="E100" s="112"/>
      <c r="F100" s="115"/>
      <c r="G100" s="113"/>
      <c r="H100" s="114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="66" customFormat="1" ht="21.95" customHeight="1" spans="1:21">
      <c r="A101" s="109"/>
      <c r="B101" s="110"/>
      <c r="C101" s="110"/>
      <c r="D101" s="111"/>
      <c r="E101" s="112"/>
      <c r="F101" s="115"/>
      <c r="G101" s="113"/>
      <c r="H101" s="114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="66" customFormat="1" ht="21.95" customHeight="1" spans="1:21">
      <c r="A102" s="109"/>
      <c r="B102" s="110"/>
      <c r="C102" s="110"/>
      <c r="D102" s="111"/>
      <c r="E102" s="112"/>
      <c r="F102" s="115"/>
      <c r="G102" s="113"/>
      <c r="H102" s="114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="66" customFormat="1" ht="21.95" customHeight="1" spans="1:21">
      <c r="A103" s="109"/>
      <c r="B103" s="110"/>
      <c r="C103" s="110"/>
      <c r="D103" s="111"/>
      <c r="E103" s="112"/>
      <c r="F103" s="115"/>
      <c r="G103" s="113"/>
      <c r="H103" s="114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="66" customFormat="1" ht="21.95" customHeight="1" spans="1:21">
      <c r="A104" s="67"/>
      <c r="D104" s="68"/>
      <c r="E104" s="69"/>
      <c r="F104" s="70"/>
      <c r="G104" s="71"/>
      <c r="H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="66" customFormat="1" ht="21.95" customHeight="1" spans="1:21">
      <c r="A105" s="67"/>
      <c r="D105" s="68"/>
      <c r="E105" s="69"/>
      <c r="F105" s="70"/>
      <c r="G105" s="71"/>
      <c r="H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="66" customFormat="1" ht="21.95" customHeight="1" spans="1:21">
      <c r="A106" s="67"/>
      <c r="D106" s="68"/>
      <c r="E106" s="69"/>
      <c r="F106" s="70"/>
      <c r="G106" s="71"/>
      <c r="H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="66" customFormat="1" ht="21.95" customHeight="1" spans="1:21">
      <c r="A107" s="67"/>
      <c r="D107" s="68"/>
      <c r="E107" s="69"/>
      <c r="F107" s="70"/>
      <c r="G107" s="71"/>
      <c r="H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="66" customFormat="1" ht="21.95" customHeight="1" spans="1:21">
      <c r="A108" s="67"/>
      <c r="D108" s="68"/>
      <c r="E108" s="69"/>
      <c r="F108" s="70"/>
      <c r="G108" s="71"/>
      <c r="H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="66" customFormat="1" ht="21.95" customHeight="1" spans="1:21">
      <c r="A109" s="67"/>
      <c r="D109" s="68"/>
      <c r="E109" s="69"/>
      <c r="F109" s="70"/>
      <c r="G109" s="71"/>
      <c r="H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="66" customFormat="1" ht="21.95" customHeight="1" spans="1:21">
      <c r="A110" s="67"/>
      <c r="D110" s="68"/>
      <c r="E110" s="69"/>
      <c r="F110" s="70"/>
      <c r="G110" s="71"/>
      <c r="H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="66" customFormat="1" ht="21.95" customHeight="1" spans="1:21">
      <c r="A111" s="67"/>
      <c r="D111" s="68"/>
      <c r="E111" s="69"/>
      <c r="F111" s="70"/>
      <c r="G111" s="71"/>
      <c r="H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="66" customFormat="1" ht="21.95" customHeight="1" spans="1:21">
      <c r="A112" s="67"/>
      <c r="D112" s="68"/>
      <c r="E112" s="69"/>
      <c r="F112" s="70"/>
      <c r="G112" s="71"/>
      <c r="H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="66" customFormat="1" ht="21.95" customHeight="1" spans="1:21">
      <c r="A113" s="67"/>
      <c r="D113" s="68"/>
      <c r="E113" s="69"/>
      <c r="F113" s="70"/>
      <c r="G113" s="71"/>
      <c r="H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="66" customFormat="1" ht="21.95" customHeight="1" spans="1:21">
      <c r="A114" s="67"/>
      <c r="D114" s="68"/>
      <c r="E114" s="69"/>
      <c r="F114" s="70"/>
      <c r="G114" s="71"/>
      <c r="H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="67" customFormat="1" ht="21.95" customHeight="1" spans="2:21">
      <c r="B115" s="66"/>
      <c r="C115" s="66"/>
      <c r="D115" s="68"/>
      <c r="E115" s="69"/>
      <c r="F115" s="70"/>
      <c r="G115" s="71"/>
      <c r="H115" s="72"/>
      <c r="I115" s="66"/>
      <c r="J115" s="66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="67" customFormat="1" ht="21.95" customHeight="1" spans="2:21">
      <c r="B116" s="66"/>
      <c r="C116" s="66"/>
      <c r="D116" s="68"/>
      <c r="E116" s="69"/>
      <c r="F116" s="70"/>
      <c r="G116" s="71"/>
      <c r="H116" s="72"/>
      <c r="I116" s="66"/>
      <c r="J116" s="66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="67" customFormat="1" ht="21.95" customHeight="1" spans="2:21">
      <c r="B117" s="66"/>
      <c r="C117" s="66"/>
      <c r="D117" s="68"/>
      <c r="E117" s="69"/>
      <c r="F117" s="70"/>
      <c r="G117" s="71"/>
      <c r="H117" s="72"/>
      <c r="I117" s="66"/>
      <c r="J117" s="66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="67" customFormat="1" ht="21.95" customHeight="1" spans="2:21">
      <c r="B118" s="66"/>
      <c r="C118" s="66"/>
      <c r="D118" s="68"/>
      <c r="E118" s="69"/>
      <c r="F118" s="70"/>
      <c r="G118" s="71"/>
      <c r="H118" s="72"/>
      <c r="I118" s="66"/>
      <c r="J118" s="66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="67" customFormat="1" ht="21.95" customHeight="1" spans="2:21">
      <c r="B119" s="66"/>
      <c r="C119" s="66"/>
      <c r="D119" s="68"/>
      <c r="E119" s="69"/>
      <c r="F119" s="70"/>
      <c r="G119" s="71"/>
      <c r="H119" s="72"/>
      <c r="I119" s="66"/>
      <c r="J119" s="66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="67" customFormat="1" ht="21.95" customHeight="1" spans="2:21">
      <c r="B120" s="66"/>
      <c r="C120" s="66"/>
      <c r="D120" s="68"/>
      <c r="E120" s="69"/>
      <c r="F120" s="70"/>
      <c r="G120" s="71"/>
      <c r="H120" s="72"/>
      <c r="I120" s="66"/>
      <c r="J120" s="66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="67" customFormat="1" ht="21.95" customHeight="1" spans="2:21">
      <c r="B121" s="66"/>
      <c r="C121" s="66"/>
      <c r="D121" s="68"/>
      <c r="E121" s="69"/>
      <c r="F121" s="70"/>
      <c r="G121" s="71"/>
      <c r="H121" s="72"/>
      <c r="I121" s="66"/>
      <c r="J121" s="66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="67" customFormat="1" ht="21.95" customHeight="1" spans="2:21">
      <c r="B122" s="66"/>
      <c r="C122" s="66"/>
      <c r="D122" s="68"/>
      <c r="E122" s="69"/>
      <c r="F122" s="70"/>
      <c r="G122" s="71"/>
      <c r="H122" s="72"/>
      <c r="I122" s="66"/>
      <c r="J122" s="66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="67" customFormat="1" ht="21.95" customHeight="1" spans="2:21">
      <c r="B123" s="66"/>
      <c r="C123" s="66"/>
      <c r="D123" s="68"/>
      <c r="E123" s="69"/>
      <c r="F123" s="70"/>
      <c r="G123" s="71"/>
      <c r="H123" s="72"/>
      <c r="I123" s="66"/>
      <c r="J123" s="66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="67" customFormat="1" ht="21.95" customHeight="1" spans="2:21">
      <c r="B124" s="66"/>
      <c r="C124" s="66"/>
      <c r="D124" s="68"/>
      <c r="E124" s="69"/>
      <c r="F124" s="70"/>
      <c r="G124" s="71"/>
      <c r="H124" s="72"/>
      <c r="I124" s="66"/>
      <c r="J124" s="66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="67" customFormat="1" ht="21.95" customHeight="1" spans="2:21">
      <c r="B125" s="66"/>
      <c r="C125" s="66"/>
      <c r="D125" s="68"/>
      <c r="E125" s="69"/>
      <c r="F125" s="70"/>
      <c r="G125" s="71"/>
      <c r="H125" s="72"/>
      <c r="I125" s="66"/>
      <c r="J125" s="66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="67" customFormat="1" ht="21.95" customHeight="1" spans="2:21">
      <c r="B126" s="66"/>
      <c r="C126" s="66"/>
      <c r="D126" s="68"/>
      <c r="E126" s="69"/>
      <c r="F126" s="70"/>
      <c r="G126" s="71"/>
      <c r="H126" s="72"/>
      <c r="I126" s="66"/>
      <c r="J126" s="66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="67" customFormat="1" ht="21.95" customHeight="1" spans="2:21">
      <c r="B127" s="66"/>
      <c r="C127" s="66"/>
      <c r="D127" s="68"/>
      <c r="E127" s="69"/>
      <c r="F127" s="70"/>
      <c r="G127" s="71"/>
      <c r="H127" s="72"/>
      <c r="I127" s="66"/>
      <c r="J127" s="66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="67" customFormat="1" ht="21.95" customHeight="1" spans="2:21">
      <c r="B128" s="66"/>
      <c r="C128" s="66"/>
      <c r="D128" s="68"/>
      <c r="E128" s="69"/>
      <c r="F128" s="70"/>
      <c r="G128" s="71"/>
      <c r="H128" s="72"/>
      <c r="I128" s="66"/>
      <c r="J128" s="66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="67" customFormat="1" ht="21.95" customHeight="1" spans="2:21">
      <c r="B129" s="66"/>
      <c r="C129" s="66"/>
      <c r="D129" s="68"/>
      <c r="E129" s="69"/>
      <c r="F129" s="70"/>
      <c r="G129" s="71"/>
      <c r="H129" s="72"/>
      <c r="I129" s="66"/>
      <c r="J129" s="66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="67" customFormat="1" ht="21.95" customHeight="1" spans="2:21">
      <c r="B130" s="66"/>
      <c r="C130" s="66"/>
      <c r="D130" s="68"/>
      <c r="E130" s="69"/>
      <c r="F130" s="70"/>
      <c r="G130" s="71"/>
      <c r="H130" s="72"/>
      <c r="I130" s="66"/>
      <c r="J130" s="66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="67" customFormat="1" ht="21.95" customHeight="1" spans="2:21">
      <c r="B131" s="66"/>
      <c r="C131" s="66"/>
      <c r="D131" s="68"/>
      <c r="E131" s="69"/>
      <c r="F131" s="70"/>
      <c r="G131" s="71"/>
      <c r="H131" s="72"/>
      <c r="I131" s="66"/>
      <c r="J131" s="66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="67" customFormat="1" ht="21.95" customHeight="1" spans="2:21">
      <c r="B132" s="66"/>
      <c r="C132" s="66"/>
      <c r="D132" s="68"/>
      <c r="E132" s="69"/>
      <c r="F132" s="70"/>
      <c r="G132" s="71"/>
      <c r="H132" s="72"/>
      <c r="I132" s="66"/>
      <c r="J132" s="66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="67" customFormat="1" ht="21.95" customHeight="1" spans="2:21">
      <c r="B133" s="66"/>
      <c r="C133" s="66"/>
      <c r="D133" s="68"/>
      <c r="E133" s="69"/>
      <c r="F133" s="70"/>
      <c r="G133" s="71"/>
      <c r="H133" s="72"/>
      <c r="I133" s="66"/>
      <c r="J133" s="66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="67" customFormat="1" ht="21.95" customHeight="1" spans="2:21">
      <c r="B134" s="66"/>
      <c r="C134" s="66"/>
      <c r="D134" s="68"/>
      <c r="E134" s="69"/>
      <c r="F134" s="70"/>
      <c r="G134" s="71"/>
      <c r="H134" s="72"/>
      <c r="I134" s="66"/>
      <c r="J134" s="66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="67" customFormat="1" ht="21.95" customHeight="1" spans="2:21">
      <c r="B135" s="66"/>
      <c r="C135" s="66"/>
      <c r="D135" s="68"/>
      <c r="E135" s="69"/>
      <c r="F135" s="70"/>
      <c r="G135" s="71"/>
      <c r="H135" s="72"/>
      <c r="I135" s="66"/>
      <c r="J135" s="66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="67" customFormat="1" ht="21.95" customHeight="1" spans="2:21">
      <c r="B136" s="66"/>
      <c r="C136" s="66"/>
      <c r="D136" s="68"/>
      <c r="E136" s="69"/>
      <c r="F136" s="70"/>
      <c r="G136" s="71"/>
      <c r="H136" s="72"/>
      <c r="I136" s="66"/>
      <c r="J136" s="66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="67" customFormat="1" ht="21.95" customHeight="1" spans="2:21">
      <c r="B137" s="66"/>
      <c r="C137" s="66"/>
      <c r="D137" s="68"/>
      <c r="E137" s="69"/>
      <c r="F137" s="70"/>
      <c r="G137" s="71"/>
      <c r="H137" s="72"/>
      <c r="I137" s="66"/>
      <c r="J137" s="66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="67" customFormat="1" ht="21.95" customHeight="1" spans="2:21">
      <c r="B138" s="66"/>
      <c r="C138" s="66"/>
      <c r="D138" s="68"/>
      <c r="E138" s="69"/>
      <c r="F138" s="70"/>
      <c r="G138" s="71"/>
      <c r="H138" s="72"/>
      <c r="I138" s="66"/>
      <c r="J138" s="66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="67" customFormat="1" ht="21.95" customHeight="1" spans="2:21">
      <c r="B139" s="66"/>
      <c r="C139" s="66"/>
      <c r="D139" s="68"/>
      <c r="E139" s="69"/>
      <c r="F139" s="70"/>
      <c r="G139" s="71"/>
      <c r="H139" s="72"/>
      <c r="I139" s="66"/>
      <c r="J139" s="66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="67" customFormat="1" ht="21.95" customHeight="1" spans="2:21">
      <c r="B140" s="66"/>
      <c r="C140" s="66"/>
      <c r="D140" s="68"/>
      <c r="E140" s="69"/>
      <c r="F140" s="70"/>
      <c r="G140" s="71"/>
      <c r="H140" s="72"/>
      <c r="I140" s="66"/>
      <c r="J140" s="66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  <row r="141" s="67" customFormat="1" ht="21.95" customHeight="1" spans="2:21">
      <c r="B141" s="66"/>
      <c r="C141" s="66"/>
      <c r="D141" s="68"/>
      <c r="E141" s="69"/>
      <c r="F141" s="70"/>
      <c r="G141" s="71"/>
      <c r="H141" s="72"/>
      <c r="I141" s="66"/>
      <c r="J141" s="66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="67" customFormat="1" ht="21.95" customHeight="1" spans="2:21">
      <c r="B142" s="66"/>
      <c r="C142" s="66"/>
      <c r="D142" s="68"/>
      <c r="E142" s="69"/>
      <c r="F142" s="70"/>
      <c r="G142" s="71"/>
      <c r="H142" s="72"/>
      <c r="I142" s="66"/>
      <c r="J142" s="66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</row>
    <row r="143" s="67" customFormat="1" ht="21.95" customHeight="1" spans="2:21">
      <c r="B143" s="66"/>
      <c r="C143" s="66"/>
      <c r="D143" s="68"/>
      <c r="E143" s="69"/>
      <c r="F143" s="70"/>
      <c r="G143" s="71"/>
      <c r="H143" s="72"/>
      <c r="I143" s="66"/>
      <c r="J143" s="66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</row>
  </sheetData>
  <mergeCells count="5">
    <mergeCell ref="A1:J1"/>
    <mergeCell ref="C2:G2"/>
    <mergeCell ref="H2:J2"/>
    <mergeCell ref="A2:A3"/>
    <mergeCell ref="B2:B3"/>
  </mergeCells>
  <printOptions horizontalCentered="1"/>
  <pageMargins left="0.589583333333333" right="0.589583333333333" top="0.0395833333333333" bottom="0.789583333333333" header="0.509722222222222" footer="0.509722222222222"/>
  <pageSetup paperSize="9" scale="75" firstPageNumber="4" fitToHeight="0" orientation="portrait" useFirstPageNumber="1" horizontalDpi="600" verticalDpi="600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0"/>
  <sheetViews>
    <sheetView zoomScale="85" zoomScaleNormal="85" topLeftCell="A49" workbookViewId="0">
      <selection activeCell="G55" sqref="G55"/>
    </sheetView>
  </sheetViews>
  <sheetFormatPr defaultColWidth="9" defaultRowHeight="21" customHeight="1"/>
  <cols>
    <col min="1" max="1" width="5.375" style="67" customWidth="1"/>
    <col min="2" max="2" width="30.75" style="66" customWidth="1"/>
    <col min="3" max="3" width="9" style="66" customWidth="1"/>
    <col min="4" max="4" width="11.25" style="68" customWidth="1"/>
    <col min="5" max="5" width="10.25" style="69" customWidth="1"/>
    <col min="6" max="6" width="8.625" style="70" customWidth="1"/>
    <col min="7" max="7" width="12.375" style="71" customWidth="1"/>
    <col min="8" max="8" width="5.625" style="72" customWidth="1"/>
    <col min="9" max="9" width="10.625" style="66" customWidth="1"/>
    <col min="10" max="10" width="11.125" style="66" customWidth="1"/>
    <col min="11" max="11" width="10.375" style="72"/>
    <col min="12" max="12" width="49.25" style="72" customWidth="1"/>
    <col min="13" max="13" width="9" style="72"/>
    <col min="14" max="14" width="10.375" style="72"/>
    <col min="15" max="15" width="15.125" style="72" customWidth="1"/>
    <col min="16" max="16384" width="9" style="72"/>
  </cols>
  <sheetData>
    <row r="1" ht="60" customHeight="1" spans="1:1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ht="30" customHeight="1" spans="1:10">
      <c r="A2" s="74" t="s">
        <v>1</v>
      </c>
      <c r="B2" s="75" t="s">
        <v>2</v>
      </c>
      <c r="C2" s="76" t="s">
        <v>3</v>
      </c>
      <c r="D2" s="77"/>
      <c r="E2" s="77"/>
      <c r="F2" s="77"/>
      <c r="G2" s="77"/>
      <c r="H2" s="78" t="s">
        <v>4</v>
      </c>
      <c r="I2" s="78"/>
      <c r="J2" s="78"/>
    </row>
    <row r="3" s="59" customFormat="1" ht="30" customHeight="1" spans="1:12">
      <c r="A3" s="79"/>
      <c r="B3" s="80"/>
      <c r="C3" s="78" t="s">
        <v>5</v>
      </c>
      <c r="D3" s="78" t="s">
        <v>6</v>
      </c>
      <c r="E3" s="78" t="s">
        <v>7</v>
      </c>
      <c r="F3" s="78" t="s">
        <v>8</v>
      </c>
      <c r="G3" s="76" t="s">
        <v>9</v>
      </c>
      <c r="H3" s="78" t="s">
        <v>10</v>
      </c>
      <c r="I3" s="78" t="s">
        <v>11</v>
      </c>
      <c r="J3" s="78" t="s">
        <v>12</v>
      </c>
      <c r="L3" s="59">
        <f>SUM(G6:G16)</f>
        <v>147.884</v>
      </c>
    </row>
    <row r="4" s="60" customFormat="1" ht="30" customHeight="1" spans="1:10">
      <c r="A4" s="81" t="s">
        <v>13</v>
      </c>
      <c r="B4" s="82" t="s">
        <v>14</v>
      </c>
      <c r="C4" s="83">
        <f>C5+C18+C25+C39+C46</f>
        <v>267.42515</v>
      </c>
      <c r="D4" s="83"/>
      <c r="E4" s="83">
        <v>1.45</v>
      </c>
      <c r="F4" s="83"/>
      <c r="G4" s="83">
        <f>SUM(G5,G18,G25,G39,G46,G47)</f>
        <v>269.08515</v>
      </c>
      <c r="H4" s="84" t="s">
        <v>15</v>
      </c>
      <c r="I4" s="84"/>
      <c r="J4" s="84"/>
    </row>
    <row r="5" s="60" customFormat="1" ht="30" customHeight="1" spans="1:10">
      <c r="A5" s="81">
        <v>1</v>
      </c>
      <c r="B5" s="85" t="s">
        <v>16</v>
      </c>
      <c r="C5" s="86">
        <f>C17</f>
        <v>147.884</v>
      </c>
      <c r="D5" s="83"/>
      <c r="E5" s="87"/>
      <c r="F5" s="83"/>
      <c r="G5" s="88">
        <f>G17</f>
        <v>147.884</v>
      </c>
      <c r="H5" s="84" t="s">
        <v>15</v>
      </c>
      <c r="I5" s="84"/>
      <c r="J5" s="84"/>
    </row>
    <row r="6" s="60" customFormat="1" ht="30" customHeight="1" spans="1:10">
      <c r="A6" s="89">
        <v>1.1</v>
      </c>
      <c r="B6" s="90" t="s">
        <v>17</v>
      </c>
      <c r="C6" s="91">
        <f t="shared" ref="C6:C16" si="0">G6</f>
        <v>4.99</v>
      </c>
      <c r="D6" s="83"/>
      <c r="E6" s="87"/>
      <c r="F6" s="83"/>
      <c r="G6" s="92">
        <v>4.99</v>
      </c>
      <c r="H6" s="93" t="s">
        <v>18</v>
      </c>
      <c r="I6" s="93">
        <v>1438.3</v>
      </c>
      <c r="J6" s="116">
        <f>G6/I6*10000</f>
        <v>34.6937356601544</v>
      </c>
    </row>
    <row r="7" s="61" customFormat="1" ht="30" customHeight="1" spans="1:10">
      <c r="A7" s="89">
        <v>1.2</v>
      </c>
      <c r="B7" s="90" t="s">
        <v>19</v>
      </c>
      <c r="C7" s="91">
        <f t="shared" si="0"/>
        <v>15.44</v>
      </c>
      <c r="D7" s="83"/>
      <c r="E7" s="87"/>
      <c r="F7" s="83"/>
      <c r="G7" s="92">
        <v>15.44</v>
      </c>
      <c r="H7" s="93" t="s">
        <v>18</v>
      </c>
      <c r="I7" s="93">
        <f>74.1+780+1000</f>
        <v>1854.1</v>
      </c>
      <c r="J7" s="116">
        <f>G7/I7*10000</f>
        <v>83.2749042662208</v>
      </c>
    </row>
    <row r="8" s="61" customFormat="1" ht="30" customHeight="1" spans="1:10">
      <c r="A8" s="89">
        <v>1.3</v>
      </c>
      <c r="B8" s="96" t="s">
        <v>20</v>
      </c>
      <c r="C8" s="91">
        <f t="shared" si="0"/>
        <v>68.23</v>
      </c>
      <c r="D8" s="94"/>
      <c r="E8" s="95"/>
      <c r="F8" s="94"/>
      <c r="G8" s="92">
        <v>68.23</v>
      </c>
      <c r="H8" s="93" t="s">
        <v>21</v>
      </c>
      <c r="I8" s="93"/>
      <c r="J8" s="116"/>
    </row>
    <row r="9" s="61" customFormat="1" ht="30" customHeight="1" spans="1:10">
      <c r="A9" s="89">
        <v>1.4</v>
      </c>
      <c r="B9" s="96" t="s">
        <v>22</v>
      </c>
      <c r="C9" s="91">
        <f t="shared" si="0"/>
        <v>8.34</v>
      </c>
      <c r="D9" s="94"/>
      <c r="E9" s="95"/>
      <c r="F9" s="94"/>
      <c r="G9" s="92">
        <v>8.34</v>
      </c>
      <c r="H9" s="93" t="s">
        <v>23</v>
      </c>
      <c r="I9" s="93">
        <v>593</v>
      </c>
      <c r="J9" s="116">
        <f>G9/I9*10000</f>
        <v>140.640809443508</v>
      </c>
    </row>
    <row r="10" s="61" customFormat="1" ht="30" customHeight="1" spans="1:10">
      <c r="A10" s="89">
        <v>1.5</v>
      </c>
      <c r="B10" s="96" t="s">
        <v>24</v>
      </c>
      <c r="C10" s="91">
        <f t="shared" si="0"/>
        <v>30.72</v>
      </c>
      <c r="D10" s="94"/>
      <c r="E10" s="95"/>
      <c r="F10" s="94"/>
      <c r="G10" s="92">
        <v>30.72</v>
      </c>
      <c r="H10" s="93" t="s">
        <v>25</v>
      </c>
      <c r="I10" s="93">
        <v>1255</v>
      </c>
      <c r="J10" s="116">
        <f>G10/I10*10000</f>
        <v>244.780876494024</v>
      </c>
    </row>
    <row r="11" s="61" customFormat="1" ht="30" customHeight="1" spans="1:10">
      <c r="A11" s="89">
        <v>1.6</v>
      </c>
      <c r="B11" s="90" t="s">
        <v>26</v>
      </c>
      <c r="C11" s="91">
        <f t="shared" si="0"/>
        <v>2.504</v>
      </c>
      <c r="D11" s="94"/>
      <c r="E11" s="95"/>
      <c r="F11" s="94"/>
      <c r="G11" s="92">
        <f t="shared" ref="G11:G16" si="1">I11*J11/10000</f>
        <v>2.504</v>
      </c>
      <c r="H11" s="93" t="s">
        <v>21</v>
      </c>
      <c r="I11" s="93">
        <v>313</v>
      </c>
      <c r="J11" s="93">
        <v>80</v>
      </c>
    </row>
    <row r="12" s="61" customFormat="1" ht="30" customHeight="1" spans="1:10">
      <c r="A12" s="89">
        <v>1.7</v>
      </c>
      <c r="B12" s="96" t="s">
        <v>27</v>
      </c>
      <c r="C12" s="91">
        <f t="shared" si="0"/>
        <v>4.88</v>
      </c>
      <c r="D12" s="94"/>
      <c r="E12" s="95"/>
      <c r="F12" s="94"/>
      <c r="G12" s="92">
        <f t="shared" si="1"/>
        <v>4.88</v>
      </c>
      <c r="H12" s="93" t="s">
        <v>23</v>
      </c>
      <c r="I12" s="93">
        <v>244</v>
      </c>
      <c r="J12" s="116">
        <v>200</v>
      </c>
    </row>
    <row r="13" s="61" customFormat="1" ht="30" customHeight="1" spans="1:10">
      <c r="A13" s="89">
        <v>1.8</v>
      </c>
      <c r="B13" s="96" t="s">
        <v>28</v>
      </c>
      <c r="C13" s="91">
        <f t="shared" si="0"/>
        <v>0.29</v>
      </c>
      <c r="D13" s="94"/>
      <c r="E13" s="95"/>
      <c r="F13" s="94"/>
      <c r="G13" s="92">
        <v>0.29</v>
      </c>
      <c r="H13" s="93" t="s">
        <v>23</v>
      </c>
      <c r="I13" s="93">
        <v>593</v>
      </c>
      <c r="J13" s="116">
        <f>G13/I13*10000</f>
        <v>4.89038785834739</v>
      </c>
    </row>
    <row r="14" s="61" customFormat="1" ht="30" customHeight="1" spans="1:10">
      <c r="A14" s="89">
        <v>1.9</v>
      </c>
      <c r="B14" s="96" t="s">
        <v>29</v>
      </c>
      <c r="C14" s="91">
        <f t="shared" si="0"/>
        <v>9.56</v>
      </c>
      <c r="D14" s="94"/>
      <c r="E14" s="95"/>
      <c r="F14" s="94"/>
      <c r="G14" s="92">
        <v>9.56</v>
      </c>
      <c r="H14" s="93" t="s">
        <v>25</v>
      </c>
      <c r="I14" s="93">
        <f>1211+381.5</f>
        <v>1592.5</v>
      </c>
      <c r="J14" s="116">
        <f>G14/I14*10000</f>
        <v>60.0313971742543</v>
      </c>
    </row>
    <row r="15" s="61" customFormat="1" ht="30" customHeight="1" spans="1:10">
      <c r="A15" s="93">
        <v>1.1</v>
      </c>
      <c r="B15" s="96" t="s">
        <v>30</v>
      </c>
      <c r="C15" s="91">
        <f t="shared" si="0"/>
        <v>0.53</v>
      </c>
      <c r="D15" s="94"/>
      <c r="E15" s="95"/>
      <c r="F15" s="94"/>
      <c r="G15" s="92">
        <v>0.53</v>
      </c>
      <c r="H15" s="93" t="s">
        <v>25</v>
      </c>
      <c r="I15" s="93">
        <v>178</v>
      </c>
      <c r="J15" s="116">
        <f>G15/I15*10000</f>
        <v>29.7752808988764</v>
      </c>
    </row>
    <row r="16" s="61" customFormat="1" ht="30" customHeight="1" spans="1:10">
      <c r="A16" s="93">
        <v>1.11</v>
      </c>
      <c r="B16" s="96" t="s">
        <v>31</v>
      </c>
      <c r="C16" s="91">
        <f t="shared" si="0"/>
        <v>2.4</v>
      </c>
      <c r="D16" s="94"/>
      <c r="E16" s="95"/>
      <c r="F16" s="94"/>
      <c r="G16" s="92">
        <f t="shared" si="1"/>
        <v>2.4</v>
      </c>
      <c r="H16" s="93" t="s">
        <v>32</v>
      </c>
      <c r="I16" s="93">
        <v>6</v>
      </c>
      <c r="J16" s="116">
        <v>4000</v>
      </c>
    </row>
    <row r="17" s="61" customFormat="1" ht="30" customHeight="1" spans="1:10">
      <c r="A17" s="93"/>
      <c r="B17" s="96" t="s">
        <v>33</v>
      </c>
      <c r="C17" s="91">
        <f>SUM(C6:C16)</f>
        <v>147.884</v>
      </c>
      <c r="D17" s="94"/>
      <c r="E17" s="95"/>
      <c r="F17" s="94"/>
      <c r="G17" s="92">
        <f>SUM(G6:G16)</f>
        <v>147.884</v>
      </c>
      <c r="H17" s="93" t="s">
        <v>15</v>
      </c>
      <c r="I17" s="93"/>
      <c r="J17" s="116"/>
    </row>
    <row r="18" s="60" customFormat="1" ht="30" customHeight="1" spans="1:12">
      <c r="A18" s="81">
        <v>2</v>
      </c>
      <c r="B18" s="85" t="s">
        <v>34</v>
      </c>
      <c r="C18" s="86">
        <f>C24</f>
        <v>26.33115</v>
      </c>
      <c r="D18" s="83"/>
      <c r="E18" s="87"/>
      <c r="F18" s="83"/>
      <c r="G18" s="88">
        <f>G24</f>
        <v>26.33115</v>
      </c>
      <c r="H18" s="84"/>
      <c r="I18" s="84"/>
      <c r="J18" s="117"/>
      <c r="L18" s="60">
        <f>SUM(G19:G23)</f>
        <v>26.33115</v>
      </c>
    </row>
    <row r="19" s="61" customFormat="1" ht="30" customHeight="1" spans="1:10">
      <c r="A19" s="89">
        <v>2.1</v>
      </c>
      <c r="B19" s="96" t="s">
        <v>35</v>
      </c>
      <c r="C19" s="91">
        <f>G19</f>
        <v>8.53115</v>
      </c>
      <c r="D19" s="94"/>
      <c r="E19" s="95"/>
      <c r="F19" s="94"/>
      <c r="G19" s="92">
        <f>I19*J19/10000</f>
        <v>8.53115</v>
      </c>
      <c r="H19" s="93" t="s">
        <v>18</v>
      </c>
      <c r="I19" s="93">
        <v>17.59</v>
      </c>
      <c r="J19" s="116">
        <v>4850</v>
      </c>
    </row>
    <row r="20" s="61" customFormat="1" ht="30" customHeight="1" spans="1:11">
      <c r="A20" s="89">
        <v>2.2</v>
      </c>
      <c r="B20" s="96" t="s">
        <v>36</v>
      </c>
      <c r="C20" s="91">
        <f>G20</f>
        <v>4.15</v>
      </c>
      <c r="D20" s="94"/>
      <c r="E20" s="95"/>
      <c r="F20" s="94"/>
      <c r="G20" s="92">
        <f>I20*J20/10000</f>
        <v>4.15</v>
      </c>
      <c r="H20" s="93" t="s">
        <v>18</v>
      </c>
      <c r="I20" s="93">
        <v>10</v>
      </c>
      <c r="J20" s="116">
        <v>4150</v>
      </c>
      <c r="K20" s="61">
        <f>4.18+0.35</f>
        <v>4.53</v>
      </c>
    </row>
    <row r="21" s="61" customFormat="1" ht="30" customHeight="1" spans="1:10">
      <c r="A21" s="89">
        <v>2.3</v>
      </c>
      <c r="B21" s="96" t="s">
        <v>37</v>
      </c>
      <c r="C21" s="91">
        <f>G21</f>
        <v>4.15</v>
      </c>
      <c r="D21" s="94"/>
      <c r="E21" s="95"/>
      <c r="F21" s="94"/>
      <c r="G21" s="92">
        <f>I21*J21/10000</f>
        <v>4.15</v>
      </c>
      <c r="H21" s="93" t="s">
        <v>18</v>
      </c>
      <c r="I21" s="93">
        <v>10</v>
      </c>
      <c r="J21" s="116">
        <v>4150</v>
      </c>
    </row>
    <row r="22" s="61" customFormat="1" ht="30" customHeight="1" spans="1:10">
      <c r="A22" s="89">
        <v>2.4</v>
      </c>
      <c r="B22" s="96" t="s">
        <v>38</v>
      </c>
      <c r="C22" s="91">
        <f>G22</f>
        <v>8</v>
      </c>
      <c r="D22" s="94"/>
      <c r="E22" s="95"/>
      <c r="F22" s="94"/>
      <c r="G22" s="92">
        <v>8</v>
      </c>
      <c r="H22" s="93" t="s">
        <v>39</v>
      </c>
      <c r="I22" s="93">
        <v>1</v>
      </c>
      <c r="J22" s="116"/>
    </row>
    <row r="23" s="61" customFormat="1" ht="30" customHeight="1" spans="1:10">
      <c r="A23" s="89">
        <v>2.5</v>
      </c>
      <c r="B23" s="96" t="s">
        <v>40</v>
      </c>
      <c r="C23" s="91">
        <f>G23</f>
        <v>1.5</v>
      </c>
      <c r="D23" s="94"/>
      <c r="E23" s="95"/>
      <c r="F23" s="94"/>
      <c r="G23" s="92">
        <v>1.5</v>
      </c>
      <c r="H23" s="93" t="s">
        <v>15</v>
      </c>
      <c r="I23" s="93"/>
      <c r="J23" s="116"/>
    </row>
    <row r="24" s="61" customFormat="1" ht="30" customHeight="1" spans="1:12">
      <c r="A24" s="93"/>
      <c r="B24" s="96" t="s">
        <v>33</v>
      </c>
      <c r="C24" s="91">
        <f>SUM(C19:C23)</f>
        <v>26.33115</v>
      </c>
      <c r="D24" s="94"/>
      <c r="E24" s="95"/>
      <c r="F24" s="94"/>
      <c r="G24" s="92">
        <f>SUM(G19:G23)</f>
        <v>26.33115</v>
      </c>
      <c r="H24" s="93" t="s">
        <v>15</v>
      </c>
      <c r="I24" s="93"/>
      <c r="J24" s="116"/>
      <c r="L24" s="61" t="e">
        <f>SUM(L25,#REF!)</f>
        <v>#REF!</v>
      </c>
    </row>
    <row r="25" s="61" customFormat="1" ht="30" customHeight="1" spans="1:12">
      <c r="A25" s="81">
        <v>3</v>
      </c>
      <c r="B25" s="97" t="s">
        <v>41</v>
      </c>
      <c r="C25" s="86">
        <f>C33+C37</f>
        <v>65.43</v>
      </c>
      <c r="D25" s="86"/>
      <c r="E25" s="86"/>
      <c r="F25" s="83"/>
      <c r="G25" s="88">
        <f>C25</f>
        <v>65.43</v>
      </c>
      <c r="H25" s="84" t="s">
        <v>15</v>
      </c>
      <c r="I25" s="84"/>
      <c r="J25" s="116"/>
      <c r="L25" s="61">
        <f>SUM(G26:G32)</f>
        <v>43.59</v>
      </c>
    </row>
    <row r="26" s="61" customFormat="1" ht="30" customHeight="1" spans="1:10">
      <c r="A26" s="89">
        <v>3.1</v>
      </c>
      <c r="B26" s="96" t="s">
        <v>42</v>
      </c>
      <c r="C26" s="91">
        <f>G26</f>
        <v>0.98</v>
      </c>
      <c r="D26" s="94"/>
      <c r="E26" s="95"/>
      <c r="F26" s="94"/>
      <c r="G26" s="92">
        <v>0.98</v>
      </c>
      <c r="H26" s="93" t="s">
        <v>23</v>
      </c>
      <c r="I26" s="93">
        <v>15</v>
      </c>
      <c r="J26" s="116">
        <f>G26/I26*10000</f>
        <v>653.333333333333</v>
      </c>
    </row>
    <row r="27" s="61" customFormat="1" ht="30" customHeight="1" spans="1:10">
      <c r="A27" s="89">
        <v>3.3</v>
      </c>
      <c r="B27" s="96" t="s">
        <v>44</v>
      </c>
      <c r="C27" s="91">
        <f t="shared" ref="C27:C32" si="2">G27</f>
        <v>8.11</v>
      </c>
      <c r="D27" s="94"/>
      <c r="E27" s="95"/>
      <c r="F27" s="94"/>
      <c r="G27" s="92">
        <v>8.11</v>
      </c>
      <c r="H27" s="93" t="s">
        <v>23</v>
      </c>
      <c r="I27" s="93">
        <v>75</v>
      </c>
      <c r="J27" s="116">
        <f t="shared" ref="J27:J32" si="3">G27/I27*10000</f>
        <v>1081.33333333333</v>
      </c>
    </row>
    <row r="28" s="61" customFormat="1" ht="30" customHeight="1" spans="1:10">
      <c r="A28" s="89">
        <v>3.4</v>
      </c>
      <c r="B28" s="96" t="s">
        <v>45</v>
      </c>
      <c r="C28" s="91">
        <f t="shared" si="2"/>
        <v>27.4</v>
      </c>
      <c r="D28" s="94"/>
      <c r="E28" s="95"/>
      <c r="F28" s="94"/>
      <c r="G28" s="92">
        <v>27.4</v>
      </c>
      <c r="H28" s="93" t="s">
        <v>23</v>
      </c>
      <c r="I28" s="93">
        <v>320</v>
      </c>
      <c r="J28" s="116">
        <f t="shared" si="3"/>
        <v>856.25</v>
      </c>
    </row>
    <row r="29" s="61" customFormat="1" ht="30" customHeight="1" spans="1:10">
      <c r="A29" s="89">
        <v>3.5</v>
      </c>
      <c r="B29" s="90" t="s">
        <v>46</v>
      </c>
      <c r="C29" s="91">
        <f t="shared" si="2"/>
        <v>3.55</v>
      </c>
      <c r="D29" s="91"/>
      <c r="E29" s="91"/>
      <c r="F29" s="94"/>
      <c r="G29" s="92">
        <v>3.55</v>
      </c>
      <c r="H29" s="93" t="s">
        <v>39</v>
      </c>
      <c r="I29" s="93">
        <v>8</v>
      </c>
      <c r="J29" s="93">
        <f t="shared" si="3"/>
        <v>4437.5</v>
      </c>
    </row>
    <row r="30" s="61" customFormat="1" ht="30" customHeight="1" spans="1:10">
      <c r="A30" s="89">
        <v>3.6</v>
      </c>
      <c r="B30" s="90" t="s">
        <v>47</v>
      </c>
      <c r="C30" s="91">
        <f t="shared" si="2"/>
        <v>0.93</v>
      </c>
      <c r="D30" s="91"/>
      <c r="E30" s="91"/>
      <c r="F30" s="94"/>
      <c r="G30" s="92">
        <v>0.93</v>
      </c>
      <c r="H30" s="93" t="s">
        <v>39</v>
      </c>
      <c r="I30" s="93">
        <v>2</v>
      </c>
      <c r="J30" s="93">
        <f t="shared" si="3"/>
        <v>4650</v>
      </c>
    </row>
    <row r="31" s="61" customFormat="1" ht="30" customHeight="1" spans="1:10">
      <c r="A31" s="89">
        <v>3.7</v>
      </c>
      <c r="B31" s="90" t="s">
        <v>48</v>
      </c>
      <c r="C31" s="91">
        <f t="shared" si="2"/>
        <v>1.74</v>
      </c>
      <c r="D31" s="91"/>
      <c r="E31" s="91"/>
      <c r="F31" s="94"/>
      <c r="G31" s="92">
        <v>1.74</v>
      </c>
      <c r="H31" s="93" t="s">
        <v>39</v>
      </c>
      <c r="I31" s="93">
        <v>2</v>
      </c>
      <c r="J31" s="93">
        <f t="shared" si="3"/>
        <v>8700</v>
      </c>
    </row>
    <row r="32" s="61" customFormat="1" ht="30" customHeight="1" spans="1:10">
      <c r="A32" s="89">
        <v>3.8</v>
      </c>
      <c r="B32" s="90" t="s">
        <v>49</v>
      </c>
      <c r="C32" s="91">
        <f t="shared" si="2"/>
        <v>0.88</v>
      </c>
      <c r="D32" s="94"/>
      <c r="E32" s="95"/>
      <c r="F32" s="94"/>
      <c r="G32" s="92">
        <v>0.88</v>
      </c>
      <c r="H32" s="93" t="s">
        <v>50</v>
      </c>
      <c r="I32" s="93">
        <v>6</v>
      </c>
      <c r="J32" s="93">
        <f t="shared" si="3"/>
        <v>1466.66666666667</v>
      </c>
    </row>
    <row r="33" s="61" customFormat="1" ht="30" customHeight="1" spans="1:10">
      <c r="A33" s="93"/>
      <c r="B33" s="96" t="s">
        <v>33</v>
      </c>
      <c r="C33" s="91">
        <f>SUM(C26:C32)</f>
        <v>43.59</v>
      </c>
      <c r="D33" s="94"/>
      <c r="E33" s="95"/>
      <c r="F33" s="94"/>
      <c r="G33" s="92">
        <f>SUM(G26:G32)</f>
        <v>43.59</v>
      </c>
      <c r="H33" s="93" t="s">
        <v>15</v>
      </c>
      <c r="I33" s="93"/>
      <c r="J33" s="116"/>
    </row>
    <row r="34" s="61" customFormat="1" ht="30" customHeight="1" spans="1:11">
      <c r="A34" s="89">
        <v>3.1</v>
      </c>
      <c r="B34" s="96" t="s">
        <v>45</v>
      </c>
      <c r="C34" s="91">
        <f>G34</f>
        <v>4.22</v>
      </c>
      <c r="D34" s="94"/>
      <c r="E34" s="95"/>
      <c r="F34" s="94"/>
      <c r="G34" s="92">
        <v>4.22</v>
      </c>
      <c r="H34" s="93" t="s">
        <v>23</v>
      </c>
      <c r="I34" s="93">
        <v>38</v>
      </c>
      <c r="J34" s="116">
        <f>G34/I34*10000</f>
        <v>1110.52631578947</v>
      </c>
      <c r="K34" s="62" t="s">
        <v>83</v>
      </c>
    </row>
    <row r="35" s="61" customFormat="1" ht="30" customHeight="1" spans="1:11">
      <c r="A35" s="89">
        <v>3.2</v>
      </c>
      <c r="B35" s="96" t="s">
        <v>86</v>
      </c>
      <c r="C35" s="91">
        <f>G35</f>
        <v>15.92</v>
      </c>
      <c r="D35" s="94"/>
      <c r="E35" s="95"/>
      <c r="F35" s="94"/>
      <c r="G35" s="92">
        <v>15.92</v>
      </c>
      <c r="H35" s="93" t="s">
        <v>23</v>
      </c>
      <c r="I35" s="93">
        <v>90</v>
      </c>
      <c r="J35" s="116">
        <f>G35/I35*10000</f>
        <v>1768.88888888889</v>
      </c>
      <c r="K35" s="62" t="s">
        <v>84</v>
      </c>
    </row>
    <row r="36" s="61" customFormat="1" ht="30" customHeight="1" spans="1:11">
      <c r="A36" s="89">
        <v>3.3</v>
      </c>
      <c r="B36" s="90" t="s">
        <v>54</v>
      </c>
      <c r="C36" s="91">
        <f>G36</f>
        <v>1.7</v>
      </c>
      <c r="D36" s="91"/>
      <c r="E36" s="91"/>
      <c r="F36" s="94"/>
      <c r="G36" s="92">
        <v>1.7</v>
      </c>
      <c r="H36" s="93" t="s">
        <v>39</v>
      </c>
      <c r="I36" s="93">
        <v>4</v>
      </c>
      <c r="J36" s="93">
        <f>G36/I36*10000</f>
        <v>4250</v>
      </c>
      <c r="K36" s="61" t="s">
        <v>85</v>
      </c>
    </row>
    <row r="37" s="61" customFormat="1" ht="30" customHeight="1" spans="1:10">
      <c r="A37" s="93"/>
      <c r="B37" s="96" t="s">
        <v>33</v>
      </c>
      <c r="C37" s="91">
        <f>SUM(C34:C36)</f>
        <v>21.84</v>
      </c>
      <c r="D37" s="91"/>
      <c r="E37" s="91"/>
      <c r="F37" s="94"/>
      <c r="G37" s="92">
        <f>SUM(G34:G36)</f>
        <v>21.84</v>
      </c>
      <c r="H37" s="93" t="s">
        <v>15</v>
      </c>
      <c r="I37" s="93"/>
      <c r="J37" s="116"/>
    </row>
    <row r="38" s="61" customFormat="1" ht="30" customHeight="1" spans="1:10">
      <c r="A38" s="93"/>
      <c r="B38" s="96"/>
      <c r="C38" s="91"/>
      <c r="D38" s="91"/>
      <c r="E38" s="91"/>
      <c r="F38" s="94"/>
      <c r="G38" s="92"/>
      <c r="H38" s="93"/>
      <c r="I38" s="93"/>
      <c r="J38" s="116"/>
    </row>
    <row r="39" s="61" customFormat="1" ht="30" customHeight="1" spans="1:10">
      <c r="A39" s="81">
        <v>5</v>
      </c>
      <c r="B39" s="97" t="s">
        <v>55</v>
      </c>
      <c r="C39" s="86">
        <f>C45</f>
        <v>11.04</v>
      </c>
      <c r="D39" s="86">
        <f>D45</f>
        <v>0</v>
      </c>
      <c r="E39" s="86">
        <f>E45</f>
        <v>1.66</v>
      </c>
      <c r="F39" s="83"/>
      <c r="G39" s="88">
        <f>C39+D39+E39</f>
        <v>12.7</v>
      </c>
      <c r="H39" s="84" t="s">
        <v>15</v>
      </c>
      <c r="I39" s="84"/>
      <c r="J39" s="116"/>
    </row>
    <row r="40" s="62" customFormat="1" ht="30" customHeight="1" spans="1:10">
      <c r="A40" s="89">
        <v>5.1</v>
      </c>
      <c r="B40" s="96" t="s">
        <v>56</v>
      </c>
      <c r="C40" s="91">
        <v>0.13</v>
      </c>
      <c r="D40" s="94"/>
      <c r="E40" s="95">
        <v>0.2</v>
      </c>
      <c r="F40" s="94"/>
      <c r="G40" s="92">
        <f>C40+D40+E40</f>
        <v>0.33</v>
      </c>
      <c r="H40" s="93" t="s">
        <v>23</v>
      </c>
      <c r="I40" s="93">
        <v>5</v>
      </c>
      <c r="J40" s="116">
        <f>G40/I40*10000</f>
        <v>660</v>
      </c>
    </row>
    <row r="41" s="61" customFormat="1" ht="30" customHeight="1" spans="1:10">
      <c r="A41" s="89">
        <v>5.2</v>
      </c>
      <c r="B41" s="96" t="s">
        <v>57</v>
      </c>
      <c r="C41" s="91">
        <v>6.57</v>
      </c>
      <c r="D41" s="94"/>
      <c r="E41" s="95">
        <v>1.46</v>
      </c>
      <c r="F41" s="94"/>
      <c r="G41" s="92">
        <f>C41+D41+E41</f>
        <v>8.03</v>
      </c>
      <c r="H41" s="93" t="s">
        <v>23</v>
      </c>
      <c r="I41" s="93">
        <v>350</v>
      </c>
      <c r="J41" s="116">
        <f>G41/I41*10000</f>
        <v>229.428571428571</v>
      </c>
    </row>
    <row r="42" s="61" customFormat="1" ht="30" customHeight="1" spans="1:10">
      <c r="A42" s="89">
        <v>5.3</v>
      </c>
      <c r="B42" s="90" t="s">
        <v>87</v>
      </c>
      <c r="C42" s="91">
        <f>G42</f>
        <v>1.6</v>
      </c>
      <c r="D42" s="91"/>
      <c r="E42" s="91"/>
      <c r="F42" s="94"/>
      <c r="G42" s="92">
        <v>1.6</v>
      </c>
      <c r="H42" s="93" t="s">
        <v>39</v>
      </c>
      <c r="I42" s="93">
        <v>3</v>
      </c>
      <c r="J42" s="93">
        <f>G42/I42*10000</f>
        <v>5333.33333333333</v>
      </c>
    </row>
    <row r="43" s="61" customFormat="1" ht="30" customHeight="1" spans="1:10">
      <c r="A43" s="89">
        <v>5.4</v>
      </c>
      <c r="B43" s="90" t="s">
        <v>59</v>
      </c>
      <c r="C43" s="91">
        <f>G43</f>
        <v>0.71</v>
      </c>
      <c r="D43" s="91"/>
      <c r="E43" s="91"/>
      <c r="F43" s="94"/>
      <c r="G43" s="92">
        <v>0.71</v>
      </c>
      <c r="H43" s="93" t="s">
        <v>39</v>
      </c>
      <c r="I43" s="93">
        <v>2</v>
      </c>
      <c r="J43" s="93">
        <f>G43/I43*10000</f>
        <v>3550</v>
      </c>
    </row>
    <row r="44" s="61" customFormat="1" ht="30" customHeight="1" spans="1:10">
      <c r="A44" s="89">
        <v>5.5</v>
      </c>
      <c r="B44" s="90" t="s">
        <v>60</v>
      </c>
      <c r="C44" s="91">
        <f>G44</f>
        <v>2.03</v>
      </c>
      <c r="D44" s="91"/>
      <c r="E44" s="91"/>
      <c r="F44" s="94"/>
      <c r="G44" s="92">
        <v>2.03</v>
      </c>
      <c r="H44" s="93" t="s">
        <v>15</v>
      </c>
      <c r="I44" s="93"/>
      <c r="J44" s="93"/>
    </row>
    <row r="45" s="61" customFormat="1" ht="30" customHeight="1" spans="1:10">
      <c r="A45" s="93"/>
      <c r="B45" s="96" t="s">
        <v>33</v>
      </c>
      <c r="C45" s="91">
        <f>SUM(C40:C44)</f>
        <v>11.04</v>
      </c>
      <c r="D45" s="91">
        <f>SUM(D40:D44)</f>
        <v>0</v>
      </c>
      <c r="E45" s="91">
        <f>SUM(E40:E44)</f>
        <v>1.66</v>
      </c>
      <c r="F45" s="94"/>
      <c r="G45" s="92">
        <f>SUM(G40:G44)</f>
        <v>12.7</v>
      </c>
      <c r="H45" s="93" t="s">
        <v>15</v>
      </c>
      <c r="I45" s="93"/>
      <c r="J45" s="116"/>
    </row>
    <row r="46" s="61" customFormat="1" ht="30" customHeight="1" spans="1:10">
      <c r="A46" s="81">
        <v>6</v>
      </c>
      <c r="B46" s="85" t="s">
        <v>61</v>
      </c>
      <c r="C46" s="86">
        <f>I46*J46/10000</f>
        <v>16.74</v>
      </c>
      <c r="D46" s="86"/>
      <c r="E46" s="86"/>
      <c r="F46" s="83"/>
      <c r="G46" s="88">
        <f>I46*J46/10000</f>
        <v>16.74</v>
      </c>
      <c r="H46" s="84" t="s">
        <v>62</v>
      </c>
      <c r="I46" s="84">
        <v>18</v>
      </c>
      <c r="J46" s="84">
        <v>9300</v>
      </c>
    </row>
    <row r="47" s="60" customFormat="1" ht="30" customHeight="1" spans="1:10">
      <c r="A47" s="81"/>
      <c r="B47" s="85"/>
      <c r="C47" s="86"/>
      <c r="D47" s="86"/>
      <c r="E47" s="86"/>
      <c r="F47" s="83"/>
      <c r="G47" s="88"/>
      <c r="H47" s="84"/>
      <c r="I47" s="84"/>
      <c r="J47" s="117"/>
    </row>
    <row r="48" s="60" customFormat="1" ht="29.1" customHeight="1" spans="1:19">
      <c r="A48" s="98" t="s">
        <v>63</v>
      </c>
      <c r="B48" s="82" t="s">
        <v>64</v>
      </c>
      <c r="C48" s="83">
        <f>C60</f>
        <v>46.3601922666667</v>
      </c>
      <c r="D48" s="83"/>
      <c r="E48" s="83"/>
      <c r="F48" s="83"/>
      <c r="G48" s="88">
        <f>C48</f>
        <v>46.3601922666667</v>
      </c>
      <c r="H48" s="84" t="s">
        <v>15</v>
      </c>
      <c r="I48" s="84"/>
      <c r="J48" s="83"/>
      <c r="M48" s="61"/>
      <c r="N48" s="61"/>
      <c r="O48" s="61"/>
      <c r="P48" s="61"/>
      <c r="Q48" s="61"/>
      <c r="R48" s="61"/>
      <c r="S48" s="61"/>
    </row>
    <row r="49" s="61" customFormat="1" ht="30" customHeight="1" spans="1:13">
      <c r="A49" s="99">
        <v>1</v>
      </c>
      <c r="B49" s="100" t="s">
        <v>65</v>
      </c>
      <c r="C49" s="94">
        <f t="shared" ref="C49:C59" si="4">G49</f>
        <v>4.44685</v>
      </c>
      <c r="D49" s="94"/>
      <c r="E49" s="94"/>
      <c r="F49" s="94"/>
      <c r="G49" s="92">
        <f>I49*0.033*0.5+0.01</f>
        <v>4.44685</v>
      </c>
      <c r="H49" s="93" t="s">
        <v>15</v>
      </c>
      <c r="I49" s="93">
        <v>268.9</v>
      </c>
      <c r="J49" s="118">
        <f>G49/I49</f>
        <v>0.0165371885459279</v>
      </c>
      <c r="L49" s="60"/>
      <c r="M49" s="60"/>
    </row>
    <row r="50" s="60" customFormat="1" ht="30" customHeight="1" spans="1:21">
      <c r="A50" s="99">
        <v>2</v>
      </c>
      <c r="B50" s="100" t="s">
        <v>66</v>
      </c>
      <c r="C50" s="94">
        <f t="shared" si="4"/>
        <v>0.578135</v>
      </c>
      <c r="D50" s="94"/>
      <c r="E50" s="94"/>
      <c r="F50" s="94"/>
      <c r="G50" s="92">
        <f>I50*0.43%*0.5</f>
        <v>0.578135</v>
      </c>
      <c r="H50" s="93" t="s">
        <v>15</v>
      </c>
      <c r="I50" s="93">
        <f>I49</f>
        <v>268.9</v>
      </c>
      <c r="J50" s="118">
        <f>G50/I50</f>
        <v>0.00215</v>
      </c>
      <c r="N50" s="61"/>
      <c r="O50" s="61"/>
      <c r="P50" s="61"/>
      <c r="Q50" s="61"/>
      <c r="R50" s="61"/>
      <c r="S50" s="61"/>
      <c r="T50" s="61"/>
      <c r="U50" s="61"/>
    </row>
    <row r="51" s="60" customFormat="1" ht="30" customHeight="1" spans="1:21">
      <c r="A51" s="99">
        <v>3</v>
      </c>
      <c r="B51" s="100" t="s">
        <v>67</v>
      </c>
      <c r="C51" s="94">
        <f t="shared" si="4"/>
        <v>0.40335</v>
      </c>
      <c r="D51" s="94"/>
      <c r="E51" s="94"/>
      <c r="F51" s="94"/>
      <c r="G51" s="92">
        <f>I51*J51</f>
        <v>0.40335</v>
      </c>
      <c r="H51" s="93" t="s">
        <v>15</v>
      </c>
      <c r="I51" s="93">
        <f>I49</f>
        <v>268.9</v>
      </c>
      <c r="J51" s="118">
        <v>0.0015</v>
      </c>
      <c r="N51" s="61"/>
      <c r="O51" s="61"/>
      <c r="P51" s="61"/>
      <c r="Q51" s="61"/>
      <c r="R51" s="61"/>
      <c r="S51" s="61"/>
      <c r="T51" s="61"/>
      <c r="U51" s="61"/>
    </row>
    <row r="52" s="60" customFormat="1" ht="30" customHeight="1" spans="1:21">
      <c r="A52" s="99">
        <v>4</v>
      </c>
      <c r="B52" s="100" t="s">
        <v>68</v>
      </c>
      <c r="C52" s="94">
        <f t="shared" si="4"/>
        <v>0.40335</v>
      </c>
      <c r="D52" s="94"/>
      <c r="E52" s="94"/>
      <c r="F52" s="94"/>
      <c r="G52" s="92">
        <f>I52*J52</f>
        <v>0.40335</v>
      </c>
      <c r="H52" s="93" t="s">
        <v>15</v>
      </c>
      <c r="I52" s="93">
        <f>I49</f>
        <v>268.9</v>
      </c>
      <c r="J52" s="118">
        <v>0.0015</v>
      </c>
      <c r="N52" s="61"/>
      <c r="O52" s="61"/>
      <c r="P52" s="61"/>
      <c r="Q52" s="61"/>
      <c r="R52" s="61"/>
      <c r="S52" s="61"/>
      <c r="T52" s="61"/>
      <c r="U52" s="61"/>
    </row>
    <row r="53" s="61" customFormat="1" ht="30" customHeight="1" spans="1:14">
      <c r="A53" s="99">
        <v>5</v>
      </c>
      <c r="B53" s="100" t="s">
        <v>69</v>
      </c>
      <c r="C53" s="94">
        <f t="shared" si="4"/>
        <v>6.94285726666667</v>
      </c>
      <c r="D53" s="94"/>
      <c r="E53" s="94"/>
      <c r="F53" s="94"/>
      <c r="G53" s="92">
        <f>((I53-200)*(20.9-9)/300+9)*0.5+G4*0.0056*0.5/0.7</f>
        <v>6.94285726666667</v>
      </c>
      <c r="H53" s="93" t="s">
        <v>15</v>
      </c>
      <c r="I53" s="93">
        <f>I49</f>
        <v>268.9</v>
      </c>
      <c r="J53" s="118">
        <f>G53/I53</f>
        <v>0.025819476633197</v>
      </c>
      <c r="L53" s="60"/>
      <c r="M53" s="60"/>
      <c r="N53" s="119"/>
    </row>
    <row r="54" s="61" customFormat="1" ht="30" customHeight="1" spans="1:13">
      <c r="A54" s="99">
        <v>6</v>
      </c>
      <c r="B54" s="100" t="s">
        <v>70</v>
      </c>
      <c r="C54" s="94">
        <f t="shared" si="4"/>
        <v>0.40335</v>
      </c>
      <c r="D54" s="94"/>
      <c r="E54" s="94"/>
      <c r="F54" s="94"/>
      <c r="G54" s="92">
        <f>I54*J54</f>
        <v>0.40335</v>
      </c>
      <c r="H54" s="93" t="s">
        <v>15</v>
      </c>
      <c r="I54" s="93">
        <v>268.9</v>
      </c>
      <c r="J54" s="118">
        <v>0.0015</v>
      </c>
      <c r="L54" s="60"/>
      <c r="M54" s="60"/>
    </row>
    <row r="55" s="61" customFormat="1" ht="30" customHeight="1" spans="1:14">
      <c r="A55" s="99">
        <v>7</v>
      </c>
      <c r="B55" s="101" t="s">
        <v>71</v>
      </c>
      <c r="C55" s="94">
        <f t="shared" si="4"/>
        <v>3</v>
      </c>
      <c r="D55" s="94"/>
      <c r="E55" s="94"/>
      <c r="F55" s="94"/>
      <c r="G55" s="92">
        <v>3</v>
      </c>
      <c r="H55" s="93" t="s">
        <v>15</v>
      </c>
      <c r="I55" s="93">
        <v>268.9</v>
      </c>
      <c r="J55" s="118">
        <f>G55/I55</f>
        <v>0.0111565637783563</v>
      </c>
      <c r="L55" s="60"/>
      <c r="M55" s="60"/>
      <c r="N55" s="119"/>
    </row>
    <row r="56" s="61" customFormat="1" ht="30" customHeight="1" spans="1:13">
      <c r="A56" s="99">
        <v>8</v>
      </c>
      <c r="B56" s="101" t="s">
        <v>72</v>
      </c>
      <c r="C56" s="94">
        <f t="shared" si="4"/>
        <v>2</v>
      </c>
      <c r="D56" s="94"/>
      <c r="E56" s="94"/>
      <c r="F56" s="94"/>
      <c r="G56" s="92">
        <v>2</v>
      </c>
      <c r="H56" s="93" t="s">
        <v>15</v>
      </c>
      <c r="I56" s="93">
        <v>268.9</v>
      </c>
      <c r="J56" s="118">
        <f>G56/I56</f>
        <v>0.00743770918557084</v>
      </c>
      <c r="L56" s="60"/>
      <c r="M56" s="60"/>
    </row>
    <row r="57" s="61" customFormat="1" ht="30" customHeight="1" spans="1:13">
      <c r="A57" s="99">
        <v>9</v>
      </c>
      <c r="B57" s="101" t="s">
        <v>73</v>
      </c>
      <c r="C57" s="94">
        <f t="shared" si="4"/>
        <v>1</v>
      </c>
      <c r="D57" s="94"/>
      <c r="E57" s="94"/>
      <c r="F57" s="94"/>
      <c r="G57" s="94">
        <v>1</v>
      </c>
      <c r="H57" s="93" t="s">
        <v>15</v>
      </c>
      <c r="I57" s="93">
        <f>I53</f>
        <v>268.9</v>
      </c>
      <c r="J57" s="118">
        <f>G57/I57</f>
        <v>0.00371885459278542</v>
      </c>
      <c r="L57" s="60"/>
      <c r="M57" s="60"/>
    </row>
    <row r="58" s="61" customFormat="1" ht="30" customHeight="1" spans="1:13">
      <c r="A58" s="99">
        <v>10</v>
      </c>
      <c r="B58" s="101" t="s">
        <v>74</v>
      </c>
      <c r="C58" s="94">
        <f t="shared" si="4"/>
        <v>2.1823</v>
      </c>
      <c r="D58" s="94"/>
      <c r="E58" s="94"/>
      <c r="F58" s="94"/>
      <c r="G58" s="94">
        <f>((I58-100)*0.7%+1)</f>
        <v>2.1823</v>
      </c>
      <c r="H58" s="93" t="s">
        <v>15</v>
      </c>
      <c r="I58" s="93">
        <f>I57</f>
        <v>268.9</v>
      </c>
      <c r="J58" s="118">
        <f>G58/I58</f>
        <v>0.00811565637783563</v>
      </c>
      <c r="L58" s="60"/>
      <c r="M58" s="60"/>
    </row>
    <row r="59" s="61" customFormat="1" ht="30" customHeight="1" spans="1:13">
      <c r="A59" s="99">
        <v>11</v>
      </c>
      <c r="B59" s="101" t="s">
        <v>75</v>
      </c>
      <c r="C59" s="94">
        <f t="shared" si="4"/>
        <v>25</v>
      </c>
      <c r="D59" s="94"/>
      <c r="E59" s="94"/>
      <c r="F59" s="94"/>
      <c r="G59" s="94">
        <v>25</v>
      </c>
      <c r="H59" s="101" t="s">
        <v>15</v>
      </c>
      <c r="I59" s="101"/>
      <c r="J59" s="101"/>
      <c r="L59" s="60"/>
      <c r="M59" s="60"/>
    </row>
    <row r="60" s="61" customFormat="1" ht="30" customHeight="1" spans="1:13">
      <c r="A60" s="102"/>
      <c r="B60" s="101" t="s">
        <v>33</v>
      </c>
      <c r="C60" s="94">
        <f>SUM(C49:C59)</f>
        <v>46.3601922666667</v>
      </c>
      <c r="D60" s="94"/>
      <c r="E60" s="94"/>
      <c r="F60" s="94"/>
      <c r="G60" s="94">
        <f>SUM(G49:G59)</f>
        <v>46.3601922666667</v>
      </c>
      <c r="H60" s="93" t="s">
        <v>15</v>
      </c>
      <c r="I60" s="102"/>
      <c r="J60" s="102"/>
      <c r="L60" s="60"/>
      <c r="M60" s="60"/>
    </row>
    <row r="61" s="63" customFormat="1" ht="30" customHeight="1" spans="1:19">
      <c r="A61" s="103" t="s">
        <v>76</v>
      </c>
      <c r="B61" s="82" t="s">
        <v>77</v>
      </c>
      <c r="C61" s="83">
        <f>G61</f>
        <v>15.7722671133333</v>
      </c>
      <c r="D61" s="83"/>
      <c r="E61" s="83"/>
      <c r="F61" s="83"/>
      <c r="G61" s="88">
        <f>I61*J61</f>
        <v>15.7722671133333</v>
      </c>
      <c r="H61" s="84" t="s">
        <v>15</v>
      </c>
      <c r="I61" s="120">
        <f>G4+G48</f>
        <v>315.445342266667</v>
      </c>
      <c r="J61" s="121">
        <v>0.05</v>
      </c>
      <c r="M61" s="61"/>
      <c r="N61" s="61"/>
      <c r="O61" s="61"/>
      <c r="P61" s="61"/>
      <c r="Q61" s="61"/>
      <c r="R61" s="61"/>
      <c r="S61" s="61"/>
    </row>
    <row r="62" s="64" customFormat="1" ht="30" customHeight="1" spans="1:19">
      <c r="A62" s="103" t="s">
        <v>78</v>
      </c>
      <c r="B62" s="82" t="s">
        <v>79</v>
      </c>
      <c r="C62" s="83">
        <f>C4</f>
        <v>267.42515</v>
      </c>
      <c r="D62" s="83">
        <f>D4</f>
        <v>0</v>
      </c>
      <c r="E62" s="83">
        <f>E4</f>
        <v>1.45</v>
      </c>
      <c r="F62" s="83">
        <f>G61+G48</f>
        <v>62.13245938</v>
      </c>
      <c r="G62" s="83">
        <f>C62+D62+E62+F62</f>
        <v>331.00760938</v>
      </c>
      <c r="H62" s="84" t="s">
        <v>15</v>
      </c>
      <c r="I62" s="84"/>
      <c r="J62" s="83"/>
      <c r="K62" s="64">
        <v>331.01</v>
      </c>
      <c r="L62" s="64">
        <f>G62-K62</f>
        <v>-0.00239062000002832</v>
      </c>
      <c r="M62" s="61"/>
      <c r="N62" s="61"/>
      <c r="O62" s="61"/>
      <c r="P62" s="61"/>
      <c r="Q62" s="61"/>
      <c r="R62" s="61"/>
      <c r="S62" s="61"/>
    </row>
    <row r="63" s="65" customFormat="1" ht="30" customHeight="1" spans="1:19">
      <c r="A63" s="103" t="s">
        <v>80</v>
      </c>
      <c r="B63" s="105" t="s">
        <v>81</v>
      </c>
      <c r="C63" s="106">
        <f>C62/G62</f>
        <v>0.807912393618097</v>
      </c>
      <c r="D63" s="106">
        <f>D62/G62</f>
        <v>0</v>
      </c>
      <c r="E63" s="106">
        <f>E62/G62</f>
        <v>0.00438056394750547</v>
      </c>
      <c r="F63" s="107">
        <f>F62/G62</f>
        <v>0.187707042434397</v>
      </c>
      <c r="G63" s="106">
        <f>SUM(C63:F63)</f>
        <v>1</v>
      </c>
      <c r="H63" s="108"/>
      <c r="I63" s="120"/>
      <c r="J63" s="122"/>
      <c r="M63" s="61"/>
      <c r="N63" s="61"/>
      <c r="O63" s="61"/>
      <c r="P63" s="61"/>
      <c r="Q63" s="61"/>
      <c r="R63" s="61"/>
      <c r="S63" s="61"/>
    </row>
    <row r="64" ht="21.95" customHeight="1" spans="1:19">
      <c r="A64" s="109"/>
      <c r="B64" s="110"/>
      <c r="C64" s="110"/>
      <c r="D64" s="111"/>
      <c r="E64" s="112"/>
      <c r="F64" s="113"/>
      <c r="G64" s="113"/>
      <c r="H64" s="114"/>
      <c r="M64" s="61"/>
      <c r="N64" s="61"/>
      <c r="O64" s="61"/>
      <c r="P64" s="61"/>
      <c r="Q64" s="61"/>
      <c r="R64" s="61"/>
      <c r="S64" s="61"/>
    </row>
    <row r="65" ht="21.95" customHeight="1" spans="1:19">
      <c r="A65" s="109"/>
      <c r="B65" s="61"/>
      <c r="C65" s="61"/>
      <c r="D65" s="61"/>
      <c r="E65" s="61"/>
      <c r="F65" s="61"/>
      <c r="G65" s="61"/>
      <c r="H65" s="61"/>
      <c r="I65" s="61"/>
      <c r="M65" s="61"/>
      <c r="N65" s="61"/>
      <c r="O65" s="61"/>
      <c r="P65" s="61"/>
      <c r="Q65" s="61"/>
      <c r="R65" s="61"/>
      <c r="S65" s="61"/>
    </row>
    <row r="66" ht="21.95" customHeight="1" spans="1:8">
      <c r="A66" s="109"/>
      <c r="B66" s="110"/>
      <c r="C66" s="110"/>
      <c r="D66" s="111"/>
      <c r="E66" s="112"/>
      <c r="F66" s="115"/>
      <c r="G66" s="113"/>
      <c r="H66" s="114"/>
    </row>
    <row r="67" ht="21.95" customHeight="1" spans="1:8">
      <c r="A67" s="109"/>
      <c r="B67" s="110"/>
      <c r="C67" s="110"/>
      <c r="D67" s="111"/>
      <c r="E67" s="112"/>
      <c r="F67" s="115"/>
      <c r="G67" s="113"/>
      <c r="H67" s="114"/>
    </row>
    <row r="68" ht="21.95" customHeight="1" spans="1:8">
      <c r="A68" s="109"/>
      <c r="B68" s="110"/>
      <c r="C68" s="110"/>
      <c r="D68" s="111"/>
      <c r="E68" s="112"/>
      <c r="F68" s="115"/>
      <c r="G68" s="113"/>
      <c r="H68" s="114"/>
    </row>
    <row r="69" ht="21.95" customHeight="1" spans="1:8">
      <c r="A69" s="109"/>
      <c r="B69" s="110"/>
      <c r="C69" s="110"/>
      <c r="D69" s="111"/>
      <c r="E69" s="112"/>
      <c r="F69" s="115"/>
      <c r="G69" s="113"/>
      <c r="H69" s="114"/>
    </row>
    <row r="70" ht="21.95" customHeight="1" spans="1:8">
      <c r="A70" s="109"/>
      <c r="B70" s="110"/>
      <c r="C70" s="110"/>
      <c r="D70" s="111"/>
      <c r="E70" s="112"/>
      <c r="F70" s="115"/>
      <c r="G70" s="113"/>
      <c r="H70" s="114"/>
    </row>
    <row r="71" ht="21.95" customHeight="1" spans="1:8">
      <c r="A71" s="109"/>
      <c r="B71" s="110"/>
      <c r="C71" s="110"/>
      <c r="D71" s="111"/>
      <c r="E71" s="112"/>
      <c r="F71" s="115"/>
      <c r="G71" s="113"/>
      <c r="H71" s="114"/>
    </row>
    <row r="72" ht="21.95" customHeight="1" spans="1:8">
      <c r="A72" s="109"/>
      <c r="B72" s="110"/>
      <c r="C72" s="110"/>
      <c r="D72" s="111"/>
      <c r="E72" s="112"/>
      <c r="F72" s="115"/>
      <c r="G72" s="113"/>
      <c r="H72" s="114"/>
    </row>
    <row r="73" ht="21.95" customHeight="1" spans="1:8">
      <c r="A73" s="109"/>
      <c r="B73" s="110"/>
      <c r="C73" s="110"/>
      <c r="D73" s="111"/>
      <c r="E73" s="112"/>
      <c r="F73" s="115"/>
      <c r="G73" s="113"/>
      <c r="H73" s="114"/>
    </row>
    <row r="74" ht="21.95" customHeight="1" spans="1:8">
      <c r="A74" s="109"/>
      <c r="B74" s="110"/>
      <c r="C74" s="110"/>
      <c r="D74" s="111"/>
      <c r="E74" s="112"/>
      <c r="F74" s="115"/>
      <c r="G74" s="113"/>
      <c r="H74" s="114"/>
    </row>
    <row r="75" ht="21.95" customHeight="1" spans="1:8">
      <c r="A75" s="109"/>
      <c r="B75" s="110"/>
      <c r="C75" s="110"/>
      <c r="D75" s="111"/>
      <c r="E75" s="112"/>
      <c r="F75" s="115"/>
      <c r="G75" s="113"/>
      <c r="H75" s="114"/>
    </row>
    <row r="76" ht="21.95" customHeight="1" spans="1:8">
      <c r="A76" s="109"/>
      <c r="B76" s="110"/>
      <c r="C76" s="110"/>
      <c r="D76" s="111"/>
      <c r="E76" s="112"/>
      <c r="F76" s="115"/>
      <c r="G76" s="113"/>
      <c r="H76" s="114"/>
    </row>
    <row r="77" ht="21.95" customHeight="1" spans="1:8">
      <c r="A77" s="109"/>
      <c r="B77" s="110"/>
      <c r="C77" s="110"/>
      <c r="D77" s="111"/>
      <c r="E77" s="112"/>
      <c r="F77" s="115"/>
      <c r="G77" s="113"/>
      <c r="H77" s="114"/>
    </row>
    <row r="78" ht="21.95" customHeight="1" spans="1:8">
      <c r="A78" s="109"/>
      <c r="B78" s="110"/>
      <c r="C78" s="110"/>
      <c r="D78" s="111"/>
      <c r="E78" s="112"/>
      <c r="F78" s="115"/>
      <c r="G78" s="113"/>
      <c r="H78" s="114"/>
    </row>
    <row r="79" ht="21.95" customHeight="1" spans="1:8">
      <c r="A79" s="109"/>
      <c r="B79" s="110"/>
      <c r="C79" s="110"/>
      <c r="D79" s="111"/>
      <c r="E79" s="112"/>
      <c r="F79" s="115"/>
      <c r="G79" s="113"/>
      <c r="H79" s="114"/>
    </row>
    <row r="80" s="66" customFormat="1" ht="21.95" customHeight="1" spans="1:21">
      <c r="A80" s="109"/>
      <c r="B80" s="110"/>
      <c r="C80" s="110"/>
      <c r="D80" s="111"/>
      <c r="E80" s="112"/>
      <c r="F80" s="115"/>
      <c r="G80" s="113"/>
      <c r="H80" s="114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="66" customFormat="1" ht="21.95" customHeight="1" spans="1:21">
      <c r="A81" s="109"/>
      <c r="B81" s="110"/>
      <c r="C81" s="110"/>
      <c r="D81" s="111"/>
      <c r="E81" s="112"/>
      <c r="F81" s="115"/>
      <c r="G81" s="113"/>
      <c r="H81" s="114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="66" customFormat="1" ht="21.95" customHeight="1" spans="1:21">
      <c r="A82" s="109"/>
      <c r="B82" s="110"/>
      <c r="C82" s="110"/>
      <c r="D82" s="111"/>
      <c r="E82" s="112"/>
      <c r="F82" s="115"/>
      <c r="G82" s="113"/>
      <c r="H82" s="114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="66" customFormat="1" ht="21.95" customHeight="1" spans="1:21">
      <c r="A83" s="109"/>
      <c r="B83" s="110"/>
      <c r="C83" s="110"/>
      <c r="D83" s="111"/>
      <c r="E83" s="112"/>
      <c r="F83" s="115"/>
      <c r="G83" s="113"/>
      <c r="H83" s="114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="66" customFormat="1" ht="21.95" customHeight="1" spans="1:21">
      <c r="A84" s="109"/>
      <c r="B84" s="110"/>
      <c r="C84" s="110"/>
      <c r="D84" s="111"/>
      <c r="E84" s="112"/>
      <c r="F84" s="115"/>
      <c r="G84" s="113"/>
      <c r="H84" s="114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="66" customFormat="1" ht="21.95" customHeight="1" spans="1:21">
      <c r="A85" s="109"/>
      <c r="B85" s="110"/>
      <c r="C85" s="110"/>
      <c r="D85" s="111"/>
      <c r="E85" s="112"/>
      <c r="F85" s="115"/>
      <c r="G85" s="113"/>
      <c r="H85" s="114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="66" customFormat="1" ht="21.95" customHeight="1" spans="1:21">
      <c r="A86" s="109"/>
      <c r="B86" s="110"/>
      <c r="C86" s="110"/>
      <c r="D86" s="111"/>
      <c r="E86" s="112"/>
      <c r="F86" s="115"/>
      <c r="G86" s="113"/>
      <c r="H86" s="114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="66" customFormat="1" ht="21.95" customHeight="1" spans="1:21">
      <c r="A87" s="109"/>
      <c r="B87" s="110"/>
      <c r="C87" s="110"/>
      <c r="D87" s="111"/>
      <c r="E87" s="112"/>
      <c r="F87" s="115"/>
      <c r="G87" s="113"/>
      <c r="H87" s="114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="66" customFormat="1" ht="21.95" customHeight="1" spans="1:21">
      <c r="A88" s="109"/>
      <c r="B88" s="110"/>
      <c r="C88" s="110"/>
      <c r="D88" s="111"/>
      <c r="E88" s="112"/>
      <c r="F88" s="115"/>
      <c r="G88" s="113"/>
      <c r="H88" s="114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="66" customFormat="1" ht="21.95" customHeight="1" spans="1:21">
      <c r="A89" s="109"/>
      <c r="B89" s="110"/>
      <c r="C89" s="110"/>
      <c r="D89" s="111"/>
      <c r="E89" s="112"/>
      <c r="F89" s="115"/>
      <c r="G89" s="113"/>
      <c r="H89" s="114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="66" customFormat="1" ht="21.95" customHeight="1" spans="1:21">
      <c r="A90" s="109"/>
      <c r="B90" s="110"/>
      <c r="C90" s="110"/>
      <c r="D90" s="111"/>
      <c r="E90" s="112"/>
      <c r="F90" s="115"/>
      <c r="G90" s="113"/>
      <c r="H90" s="114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="66" customFormat="1" ht="21.95" customHeight="1" spans="1:21">
      <c r="A91" s="109"/>
      <c r="B91" s="110"/>
      <c r="C91" s="110"/>
      <c r="D91" s="111"/>
      <c r="E91" s="112"/>
      <c r="F91" s="115"/>
      <c r="G91" s="113"/>
      <c r="H91" s="11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="66" customFormat="1" ht="21.95" customHeight="1" spans="1:21">
      <c r="A92" s="109"/>
      <c r="B92" s="110"/>
      <c r="C92" s="110"/>
      <c r="D92" s="111"/>
      <c r="E92" s="112"/>
      <c r="F92" s="115"/>
      <c r="G92" s="113"/>
      <c r="H92" s="114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="66" customFormat="1" ht="21.95" customHeight="1" spans="1:21">
      <c r="A93" s="109"/>
      <c r="B93" s="110"/>
      <c r="C93" s="110"/>
      <c r="D93" s="111"/>
      <c r="E93" s="112"/>
      <c r="F93" s="115"/>
      <c r="G93" s="113"/>
      <c r="H93" s="114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="66" customFormat="1" ht="21.95" customHeight="1" spans="1:21">
      <c r="A94" s="109"/>
      <c r="B94" s="110"/>
      <c r="C94" s="110"/>
      <c r="D94" s="111"/>
      <c r="E94" s="112"/>
      <c r="F94" s="115"/>
      <c r="G94" s="113"/>
      <c r="H94" s="114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="66" customFormat="1" ht="21.95" customHeight="1" spans="1:21">
      <c r="A95" s="109"/>
      <c r="B95" s="110"/>
      <c r="C95" s="110"/>
      <c r="D95" s="111"/>
      <c r="E95" s="112"/>
      <c r="F95" s="115"/>
      <c r="G95" s="113"/>
      <c r="H95" s="114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="66" customFormat="1" ht="21.95" customHeight="1" spans="1:21">
      <c r="A96" s="109"/>
      <c r="B96" s="110"/>
      <c r="C96" s="110"/>
      <c r="D96" s="111"/>
      <c r="E96" s="112"/>
      <c r="F96" s="115"/>
      <c r="G96" s="113"/>
      <c r="H96" s="114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="66" customFormat="1" ht="21.95" customHeight="1" spans="1:21">
      <c r="A97" s="109"/>
      <c r="B97" s="110"/>
      <c r="C97" s="110"/>
      <c r="D97" s="111"/>
      <c r="E97" s="112"/>
      <c r="F97" s="115"/>
      <c r="G97" s="113"/>
      <c r="H97" s="114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="66" customFormat="1" ht="21.95" customHeight="1" spans="1:21">
      <c r="A98" s="109"/>
      <c r="B98" s="110"/>
      <c r="C98" s="110"/>
      <c r="D98" s="111"/>
      <c r="E98" s="112"/>
      <c r="F98" s="115"/>
      <c r="G98" s="113"/>
      <c r="H98" s="114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="66" customFormat="1" ht="21.95" customHeight="1" spans="1:21">
      <c r="A99" s="109"/>
      <c r="B99" s="110"/>
      <c r="C99" s="110"/>
      <c r="D99" s="111"/>
      <c r="E99" s="112"/>
      <c r="F99" s="115"/>
      <c r="G99" s="113"/>
      <c r="H99" s="114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="66" customFormat="1" ht="21.95" customHeight="1" spans="1:21">
      <c r="A100" s="109"/>
      <c r="B100" s="110"/>
      <c r="C100" s="110"/>
      <c r="D100" s="111"/>
      <c r="E100" s="112"/>
      <c r="F100" s="115"/>
      <c r="G100" s="113"/>
      <c r="H100" s="114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="66" customFormat="1" ht="21.95" customHeight="1" spans="1:21">
      <c r="A101" s="67"/>
      <c r="D101" s="68"/>
      <c r="E101" s="69"/>
      <c r="F101" s="70"/>
      <c r="G101" s="71"/>
      <c r="H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="66" customFormat="1" ht="21.95" customHeight="1" spans="1:21">
      <c r="A102" s="67"/>
      <c r="D102" s="68"/>
      <c r="E102" s="69"/>
      <c r="F102" s="70"/>
      <c r="G102" s="71"/>
      <c r="H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="66" customFormat="1" ht="21.95" customHeight="1" spans="1:21">
      <c r="A103" s="67"/>
      <c r="D103" s="68"/>
      <c r="E103" s="69"/>
      <c r="F103" s="70"/>
      <c r="G103" s="71"/>
      <c r="H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="66" customFormat="1" ht="21.95" customHeight="1" spans="1:21">
      <c r="A104" s="67"/>
      <c r="D104" s="68"/>
      <c r="E104" s="69"/>
      <c r="F104" s="70"/>
      <c r="G104" s="71"/>
      <c r="H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="66" customFormat="1" ht="21.95" customHeight="1" spans="1:21">
      <c r="A105" s="67"/>
      <c r="D105" s="68"/>
      <c r="E105" s="69"/>
      <c r="F105" s="70"/>
      <c r="G105" s="71"/>
      <c r="H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="66" customFormat="1" ht="21.95" customHeight="1" spans="1:21">
      <c r="A106" s="67"/>
      <c r="D106" s="68"/>
      <c r="E106" s="69"/>
      <c r="F106" s="70"/>
      <c r="G106" s="71"/>
      <c r="H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="66" customFormat="1" ht="21.95" customHeight="1" spans="1:21">
      <c r="A107" s="67"/>
      <c r="D107" s="68"/>
      <c r="E107" s="69"/>
      <c r="F107" s="70"/>
      <c r="G107" s="71"/>
      <c r="H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="66" customFormat="1" ht="21.95" customHeight="1" spans="1:21">
      <c r="A108" s="67"/>
      <c r="D108" s="68"/>
      <c r="E108" s="69"/>
      <c r="F108" s="70"/>
      <c r="G108" s="71"/>
      <c r="H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="66" customFormat="1" ht="21.95" customHeight="1" spans="1:21">
      <c r="A109" s="67"/>
      <c r="D109" s="68"/>
      <c r="E109" s="69"/>
      <c r="F109" s="70"/>
      <c r="G109" s="71"/>
      <c r="H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="66" customFormat="1" ht="21.95" customHeight="1" spans="1:21">
      <c r="A110" s="67"/>
      <c r="D110" s="68"/>
      <c r="E110" s="69"/>
      <c r="F110" s="70"/>
      <c r="G110" s="71"/>
      <c r="H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="66" customFormat="1" ht="21.95" customHeight="1" spans="1:21">
      <c r="A111" s="67"/>
      <c r="D111" s="68"/>
      <c r="E111" s="69"/>
      <c r="F111" s="70"/>
      <c r="G111" s="71"/>
      <c r="H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="67" customFormat="1" ht="21.95" customHeight="1" spans="2:21">
      <c r="B112" s="66"/>
      <c r="C112" s="66"/>
      <c r="D112" s="68"/>
      <c r="E112" s="69"/>
      <c r="F112" s="70"/>
      <c r="G112" s="71"/>
      <c r="H112" s="72"/>
      <c r="I112" s="66"/>
      <c r="J112" s="66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="67" customFormat="1" ht="21.95" customHeight="1" spans="2:21">
      <c r="B113" s="66"/>
      <c r="C113" s="66"/>
      <c r="D113" s="68"/>
      <c r="E113" s="69"/>
      <c r="F113" s="70"/>
      <c r="G113" s="71"/>
      <c r="H113" s="72"/>
      <c r="I113" s="66"/>
      <c r="J113" s="66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="67" customFormat="1" ht="21.95" customHeight="1" spans="2:21">
      <c r="B114" s="66"/>
      <c r="C114" s="66"/>
      <c r="D114" s="68"/>
      <c r="E114" s="69"/>
      <c r="F114" s="70"/>
      <c r="G114" s="71"/>
      <c r="H114" s="72"/>
      <c r="I114" s="66"/>
      <c r="J114" s="66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="67" customFormat="1" ht="21.95" customHeight="1" spans="2:21">
      <c r="B115" s="66"/>
      <c r="C115" s="66"/>
      <c r="D115" s="68"/>
      <c r="E115" s="69"/>
      <c r="F115" s="70"/>
      <c r="G115" s="71"/>
      <c r="H115" s="72"/>
      <c r="I115" s="66"/>
      <c r="J115" s="66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="67" customFormat="1" ht="21.95" customHeight="1" spans="2:21">
      <c r="B116" s="66"/>
      <c r="C116" s="66"/>
      <c r="D116" s="68"/>
      <c r="E116" s="69"/>
      <c r="F116" s="70"/>
      <c r="G116" s="71"/>
      <c r="H116" s="72"/>
      <c r="I116" s="66"/>
      <c r="J116" s="66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="67" customFormat="1" ht="21.95" customHeight="1" spans="2:21">
      <c r="B117" s="66"/>
      <c r="C117" s="66"/>
      <c r="D117" s="68"/>
      <c r="E117" s="69"/>
      <c r="F117" s="70"/>
      <c r="G117" s="71"/>
      <c r="H117" s="72"/>
      <c r="I117" s="66"/>
      <c r="J117" s="66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="67" customFormat="1" ht="21.95" customHeight="1" spans="2:21">
      <c r="B118" s="66"/>
      <c r="C118" s="66"/>
      <c r="D118" s="68"/>
      <c r="E118" s="69"/>
      <c r="F118" s="70"/>
      <c r="G118" s="71"/>
      <c r="H118" s="72"/>
      <c r="I118" s="66"/>
      <c r="J118" s="66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="67" customFormat="1" ht="21.95" customHeight="1" spans="2:21">
      <c r="B119" s="66"/>
      <c r="C119" s="66"/>
      <c r="D119" s="68"/>
      <c r="E119" s="69"/>
      <c r="F119" s="70"/>
      <c r="G119" s="71"/>
      <c r="H119" s="72"/>
      <c r="I119" s="66"/>
      <c r="J119" s="66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="67" customFormat="1" ht="21.95" customHeight="1" spans="2:21">
      <c r="B120" s="66"/>
      <c r="C120" s="66"/>
      <c r="D120" s="68"/>
      <c r="E120" s="69"/>
      <c r="F120" s="70"/>
      <c r="G120" s="71"/>
      <c r="H120" s="72"/>
      <c r="I120" s="66"/>
      <c r="J120" s="66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="67" customFormat="1" ht="21.95" customHeight="1" spans="2:21">
      <c r="B121" s="66"/>
      <c r="C121" s="66"/>
      <c r="D121" s="68"/>
      <c r="E121" s="69"/>
      <c r="F121" s="70"/>
      <c r="G121" s="71"/>
      <c r="H121" s="72"/>
      <c r="I121" s="66"/>
      <c r="J121" s="66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="67" customFormat="1" ht="21.95" customHeight="1" spans="2:21">
      <c r="B122" s="66"/>
      <c r="C122" s="66"/>
      <c r="D122" s="68"/>
      <c r="E122" s="69"/>
      <c r="F122" s="70"/>
      <c r="G122" s="71"/>
      <c r="H122" s="72"/>
      <c r="I122" s="66"/>
      <c r="J122" s="66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="67" customFormat="1" ht="21.95" customHeight="1" spans="2:21">
      <c r="B123" s="66"/>
      <c r="C123" s="66"/>
      <c r="D123" s="68"/>
      <c r="E123" s="69"/>
      <c r="F123" s="70"/>
      <c r="G123" s="71"/>
      <c r="H123" s="72"/>
      <c r="I123" s="66"/>
      <c r="J123" s="66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="67" customFormat="1" ht="21.95" customHeight="1" spans="2:21">
      <c r="B124" s="66"/>
      <c r="C124" s="66"/>
      <c r="D124" s="68"/>
      <c r="E124" s="69"/>
      <c r="F124" s="70"/>
      <c r="G124" s="71"/>
      <c r="H124" s="72"/>
      <c r="I124" s="66"/>
      <c r="J124" s="66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="67" customFormat="1" ht="21.95" customHeight="1" spans="2:21">
      <c r="B125" s="66"/>
      <c r="C125" s="66"/>
      <c r="D125" s="68"/>
      <c r="E125" s="69"/>
      <c r="F125" s="70"/>
      <c r="G125" s="71"/>
      <c r="H125" s="72"/>
      <c r="I125" s="66"/>
      <c r="J125" s="66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="67" customFormat="1" ht="21.95" customHeight="1" spans="2:21">
      <c r="B126" s="66"/>
      <c r="C126" s="66"/>
      <c r="D126" s="68"/>
      <c r="E126" s="69"/>
      <c r="F126" s="70"/>
      <c r="G126" s="71"/>
      <c r="H126" s="72"/>
      <c r="I126" s="66"/>
      <c r="J126" s="66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="67" customFormat="1" ht="21.95" customHeight="1" spans="2:21">
      <c r="B127" s="66"/>
      <c r="C127" s="66"/>
      <c r="D127" s="68"/>
      <c r="E127" s="69"/>
      <c r="F127" s="70"/>
      <c r="G127" s="71"/>
      <c r="H127" s="72"/>
      <c r="I127" s="66"/>
      <c r="J127" s="66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="67" customFormat="1" ht="21.95" customHeight="1" spans="2:21">
      <c r="B128" s="66"/>
      <c r="C128" s="66"/>
      <c r="D128" s="68"/>
      <c r="E128" s="69"/>
      <c r="F128" s="70"/>
      <c r="G128" s="71"/>
      <c r="H128" s="72"/>
      <c r="I128" s="66"/>
      <c r="J128" s="66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="67" customFormat="1" ht="21.95" customHeight="1" spans="2:21">
      <c r="B129" s="66"/>
      <c r="C129" s="66"/>
      <c r="D129" s="68"/>
      <c r="E129" s="69"/>
      <c r="F129" s="70"/>
      <c r="G129" s="71"/>
      <c r="H129" s="72"/>
      <c r="I129" s="66"/>
      <c r="J129" s="66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="67" customFormat="1" ht="21.95" customHeight="1" spans="2:21">
      <c r="B130" s="66"/>
      <c r="C130" s="66"/>
      <c r="D130" s="68"/>
      <c r="E130" s="69"/>
      <c r="F130" s="70"/>
      <c r="G130" s="71"/>
      <c r="H130" s="72"/>
      <c r="I130" s="66"/>
      <c r="J130" s="66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="67" customFormat="1" ht="21.95" customHeight="1" spans="2:21">
      <c r="B131" s="66"/>
      <c r="C131" s="66"/>
      <c r="D131" s="68"/>
      <c r="E131" s="69"/>
      <c r="F131" s="70"/>
      <c r="G131" s="71"/>
      <c r="H131" s="72"/>
      <c r="I131" s="66"/>
      <c r="J131" s="66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="67" customFormat="1" ht="21.95" customHeight="1" spans="2:21">
      <c r="B132" s="66"/>
      <c r="C132" s="66"/>
      <c r="D132" s="68"/>
      <c r="E132" s="69"/>
      <c r="F132" s="70"/>
      <c r="G132" s="71"/>
      <c r="H132" s="72"/>
      <c r="I132" s="66"/>
      <c r="J132" s="66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="67" customFormat="1" ht="21.95" customHeight="1" spans="2:21">
      <c r="B133" s="66"/>
      <c r="C133" s="66"/>
      <c r="D133" s="68"/>
      <c r="E133" s="69"/>
      <c r="F133" s="70"/>
      <c r="G133" s="71"/>
      <c r="H133" s="72"/>
      <c r="I133" s="66"/>
      <c r="J133" s="66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="67" customFormat="1" ht="21.95" customHeight="1" spans="2:21">
      <c r="B134" s="66"/>
      <c r="C134" s="66"/>
      <c r="D134" s="68"/>
      <c r="E134" s="69"/>
      <c r="F134" s="70"/>
      <c r="G134" s="71"/>
      <c r="H134" s="72"/>
      <c r="I134" s="66"/>
      <c r="J134" s="66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="67" customFormat="1" ht="21.95" customHeight="1" spans="2:21">
      <c r="B135" s="66"/>
      <c r="C135" s="66"/>
      <c r="D135" s="68"/>
      <c r="E135" s="69"/>
      <c r="F135" s="70"/>
      <c r="G135" s="71"/>
      <c r="H135" s="72"/>
      <c r="I135" s="66"/>
      <c r="J135" s="66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="67" customFormat="1" ht="21.95" customHeight="1" spans="2:21">
      <c r="B136" s="66"/>
      <c r="C136" s="66"/>
      <c r="D136" s="68"/>
      <c r="E136" s="69"/>
      <c r="F136" s="70"/>
      <c r="G136" s="71"/>
      <c r="H136" s="72"/>
      <c r="I136" s="66"/>
      <c r="J136" s="66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="67" customFormat="1" ht="21.95" customHeight="1" spans="2:21">
      <c r="B137" s="66"/>
      <c r="C137" s="66"/>
      <c r="D137" s="68"/>
      <c r="E137" s="69"/>
      <c r="F137" s="70"/>
      <c r="G137" s="71"/>
      <c r="H137" s="72"/>
      <c r="I137" s="66"/>
      <c r="J137" s="66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="67" customFormat="1" ht="21.95" customHeight="1" spans="2:21">
      <c r="B138" s="66"/>
      <c r="C138" s="66"/>
      <c r="D138" s="68"/>
      <c r="E138" s="69"/>
      <c r="F138" s="70"/>
      <c r="G138" s="71"/>
      <c r="H138" s="72"/>
      <c r="I138" s="66"/>
      <c r="J138" s="66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="67" customFormat="1" ht="21.95" customHeight="1" spans="2:21">
      <c r="B139" s="66"/>
      <c r="C139" s="66"/>
      <c r="D139" s="68"/>
      <c r="E139" s="69"/>
      <c r="F139" s="70"/>
      <c r="G139" s="71"/>
      <c r="H139" s="72"/>
      <c r="I139" s="66"/>
      <c r="J139" s="66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="67" customFormat="1" ht="21.95" customHeight="1" spans="2:21">
      <c r="B140" s="66"/>
      <c r="C140" s="66"/>
      <c r="D140" s="68"/>
      <c r="E140" s="69"/>
      <c r="F140" s="70"/>
      <c r="G140" s="71"/>
      <c r="H140" s="72"/>
      <c r="I140" s="66"/>
      <c r="J140" s="66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</sheetData>
  <mergeCells count="5">
    <mergeCell ref="A1:J1"/>
    <mergeCell ref="C2:G2"/>
    <mergeCell ref="H2:J2"/>
    <mergeCell ref="A2:A3"/>
    <mergeCell ref="B2:B3"/>
  </mergeCells>
  <printOptions horizontalCentered="1"/>
  <pageMargins left="0.589583333333333" right="0.589583333333333" top="0.0395833333333333" bottom="0.789583333333333" header="0.509722222222222" footer="0.509722222222222"/>
  <pageSetup paperSize="9" scale="75" firstPageNumber="4" fitToHeight="0" orientation="portrait" useFirstPageNumber="1" horizontalDpi="600" verticalDpi="60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0"/>
  <sheetViews>
    <sheetView zoomScale="85" zoomScaleNormal="85" topLeftCell="A46" workbookViewId="0">
      <selection activeCell="G55" sqref="G55"/>
    </sheetView>
  </sheetViews>
  <sheetFormatPr defaultColWidth="9" defaultRowHeight="21" customHeight="1"/>
  <cols>
    <col min="1" max="1" width="5.375" style="67" customWidth="1"/>
    <col min="2" max="2" width="30.75" style="66" customWidth="1"/>
    <col min="3" max="3" width="9" style="66" customWidth="1"/>
    <col min="4" max="4" width="11.25" style="68" customWidth="1"/>
    <col min="5" max="5" width="10.25" style="69" customWidth="1"/>
    <col min="6" max="6" width="8.625" style="70" customWidth="1"/>
    <col min="7" max="7" width="12.375" style="71" customWidth="1"/>
    <col min="8" max="8" width="5.625" style="72" customWidth="1"/>
    <col min="9" max="9" width="10.625" style="66" customWidth="1"/>
    <col min="10" max="10" width="11.125" style="66" customWidth="1"/>
    <col min="11" max="11" width="10.375" style="72"/>
    <col min="12" max="12" width="49.25" style="72" customWidth="1"/>
    <col min="13" max="13" width="9" style="72"/>
    <col min="14" max="14" width="10.375" style="72"/>
    <col min="15" max="15" width="15.125" style="72" customWidth="1"/>
    <col min="16" max="16384" width="9" style="72"/>
  </cols>
  <sheetData>
    <row r="1" ht="60" customHeight="1" spans="1:1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ht="30" customHeight="1" spans="1:10">
      <c r="A2" s="74" t="s">
        <v>1</v>
      </c>
      <c r="B2" s="75" t="s">
        <v>2</v>
      </c>
      <c r="C2" s="76" t="s">
        <v>3</v>
      </c>
      <c r="D2" s="77"/>
      <c r="E2" s="77"/>
      <c r="F2" s="77"/>
      <c r="G2" s="77"/>
      <c r="H2" s="78" t="s">
        <v>4</v>
      </c>
      <c r="I2" s="78"/>
      <c r="J2" s="78"/>
    </row>
    <row r="3" s="59" customFormat="1" ht="30" customHeight="1" spans="1:12">
      <c r="A3" s="79"/>
      <c r="B3" s="80"/>
      <c r="C3" s="78" t="s">
        <v>5</v>
      </c>
      <c r="D3" s="78" t="s">
        <v>6</v>
      </c>
      <c r="E3" s="78" t="s">
        <v>7</v>
      </c>
      <c r="F3" s="78" t="s">
        <v>8</v>
      </c>
      <c r="G3" s="76" t="s">
        <v>9</v>
      </c>
      <c r="H3" s="78" t="s">
        <v>10</v>
      </c>
      <c r="I3" s="78" t="s">
        <v>11</v>
      </c>
      <c r="J3" s="78" t="s">
        <v>12</v>
      </c>
      <c r="L3" s="59">
        <f>SUM(G6:G16)</f>
        <v>154.024</v>
      </c>
    </row>
    <row r="4" s="60" customFormat="1" ht="30" customHeight="1" spans="1:10">
      <c r="A4" s="81" t="s">
        <v>13</v>
      </c>
      <c r="B4" s="82" t="s">
        <v>14</v>
      </c>
      <c r="C4" s="83">
        <f>C5+C18+C25+C39+C46</f>
        <v>273.56515</v>
      </c>
      <c r="D4" s="83"/>
      <c r="E4" s="83">
        <v>1.45</v>
      </c>
      <c r="F4" s="83"/>
      <c r="G4" s="83">
        <f>SUM(G5,G18,G25,G39,G46,G47)</f>
        <v>275.22515</v>
      </c>
      <c r="H4" s="84" t="s">
        <v>15</v>
      </c>
      <c r="I4" s="84"/>
      <c r="J4" s="84"/>
    </row>
    <row r="5" s="60" customFormat="1" ht="30" customHeight="1" spans="1:10">
      <c r="A5" s="81">
        <v>1</v>
      </c>
      <c r="B5" s="85" t="s">
        <v>16</v>
      </c>
      <c r="C5" s="86">
        <f>C17</f>
        <v>154.024</v>
      </c>
      <c r="D5" s="83"/>
      <c r="E5" s="87"/>
      <c r="F5" s="83"/>
      <c r="G5" s="88">
        <f>G17</f>
        <v>154.024</v>
      </c>
      <c r="H5" s="84" t="s">
        <v>15</v>
      </c>
      <c r="I5" s="84"/>
      <c r="J5" s="84"/>
    </row>
    <row r="6" s="60" customFormat="1" ht="30" customHeight="1" spans="1:10">
      <c r="A6" s="89">
        <v>1.1</v>
      </c>
      <c r="B6" s="90" t="s">
        <v>17</v>
      </c>
      <c r="C6" s="91">
        <f t="shared" ref="C6:C16" si="0">G6</f>
        <v>4.99</v>
      </c>
      <c r="D6" s="83"/>
      <c r="E6" s="87"/>
      <c r="F6" s="83"/>
      <c r="G6" s="92">
        <v>4.99</v>
      </c>
      <c r="H6" s="93" t="s">
        <v>18</v>
      </c>
      <c r="I6" s="93">
        <v>1438.3</v>
      </c>
      <c r="J6" s="116">
        <f>G6/I6*10000</f>
        <v>34.6937356601544</v>
      </c>
    </row>
    <row r="7" s="61" customFormat="1" ht="30" customHeight="1" spans="1:10">
      <c r="A7" s="89">
        <v>1.2</v>
      </c>
      <c r="B7" s="90" t="s">
        <v>19</v>
      </c>
      <c r="C7" s="91">
        <f t="shared" si="0"/>
        <v>15.44</v>
      </c>
      <c r="D7" s="83"/>
      <c r="E7" s="87"/>
      <c r="F7" s="83"/>
      <c r="G7" s="92">
        <v>15.44</v>
      </c>
      <c r="H7" s="93" t="s">
        <v>18</v>
      </c>
      <c r="I7" s="93">
        <f>74.1+780+1000</f>
        <v>1854.1</v>
      </c>
      <c r="J7" s="116">
        <f>G7/I7*10000</f>
        <v>83.2749042662208</v>
      </c>
    </row>
    <row r="8" s="61" customFormat="1" ht="30" customHeight="1" spans="1:11">
      <c r="A8" s="89">
        <v>1.3</v>
      </c>
      <c r="B8" s="96" t="s">
        <v>20</v>
      </c>
      <c r="C8" s="91">
        <f t="shared" si="0"/>
        <v>74.37</v>
      </c>
      <c r="D8" s="94"/>
      <c r="E8" s="95"/>
      <c r="F8" s="94"/>
      <c r="G8" s="92">
        <v>74.37</v>
      </c>
      <c r="H8" s="93" t="s">
        <v>21</v>
      </c>
      <c r="I8" s="93">
        <v>1776</v>
      </c>
      <c r="J8" s="116">
        <f>G8/I8*10000</f>
        <v>418.75</v>
      </c>
      <c r="K8" s="61">
        <v>68.23</v>
      </c>
    </row>
    <row r="9" s="61" customFormat="1" ht="30" customHeight="1" spans="1:10">
      <c r="A9" s="89">
        <v>1.4</v>
      </c>
      <c r="B9" s="96" t="s">
        <v>22</v>
      </c>
      <c r="C9" s="91">
        <f t="shared" si="0"/>
        <v>8.34</v>
      </c>
      <c r="D9" s="94"/>
      <c r="E9" s="95"/>
      <c r="F9" s="94"/>
      <c r="G9" s="92">
        <v>8.34</v>
      </c>
      <c r="H9" s="93" t="s">
        <v>23</v>
      </c>
      <c r="I9" s="93">
        <v>593</v>
      </c>
      <c r="J9" s="116">
        <f>G9/I9*10000</f>
        <v>140.640809443508</v>
      </c>
    </row>
    <row r="10" s="61" customFormat="1" ht="30" customHeight="1" spans="1:10">
      <c r="A10" s="89">
        <v>1.5</v>
      </c>
      <c r="B10" s="96" t="s">
        <v>24</v>
      </c>
      <c r="C10" s="91">
        <f t="shared" si="0"/>
        <v>30.72</v>
      </c>
      <c r="D10" s="94"/>
      <c r="E10" s="95"/>
      <c r="F10" s="94"/>
      <c r="G10" s="92">
        <v>30.72</v>
      </c>
      <c r="H10" s="93" t="s">
        <v>25</v>
      </c>
      <c r="I10" s="93">
        <v>1255</v>
      </c>
      <c r="J10" s="116">
        <f>G10/I10*10000</f>
        <v>244.780876494024</v>
      </c>
    </row>
    <row r="11" s="61" customFormat="1" ht="30" customHeight="1" spans="1:10">
      <c r="A11" s="89">
        <v>1.6</v>
      </c>
      <c r="B11" s="90" t="s">
        <v>26</v>
      </c>
      <c r="C11" s="91">
        <f t="shared" si="0"/>
        <v>2.504</v>
      </c>
      <c r="D11" s="94"/>
      <c r="E11" s="95"/>
      <c r="F11" s="94"/>
      <c r="G11" s="92">
        <f t="shared" ref="G11:G16" si="1">I11*J11/10000</f>
        <v>2.504</v>
      </c>
      <c r="H11" s="93" t="s">
        <v>21</v>
      </c>
      <c r="I11" s="93">
        <v>313</v>
      </c>
      <c r="J11" s="93">
        <v>80</v>
      </c>
    </row>
    <row r="12" s="61" customFormat="1" ht="30" customHeight="1" spans="1:10">
      <c r="A12" s="89">
        <v>1.7</v>
      </c>
      <c r="B12" s="96" t="s">
        <v>27</v>
      </c>
      <c r="C12" s="91">
        <f t="shared" si="0"/>
        <v>4.88</v>
      </c>
      <c r="D12" s="94"/>
      <c r="E12" s="95"/>
      <c r="F12" s="94"/>
      <c r="G12" s="92">
        <f t="shared" si="1"/>
        <v>4.88</v>
      </c>
      <c r="H12" s="93" t="s">
        <v>23</v>
      </c>
      <c r="I12" s="93">
        <v>244</v>
      </c>
      <c r="J12" s="116">
        <v>200</v>
      </c>
    </row>
    <row r="13" s="61" customFormat="1" ht="30" customHeight="1" spans="1:10">
      <c r="A13" s="89">
        <v>1.8</v>
      </c>
      <c r="B13" s="96" t="s">
        <v>28</v>
      </c>
      <c r="C13" s="91">
        <f t="shared" si="0"/>
        <v>0.29</v>
      </c>
      <c r="D13" s="94"/>
      <c r="E13" s="95"/>
      <c r="F13" s="94"/>
      <c r="G13" s="92">
        <v>0.29</v>
      </c>
      <c r="H13" s="93" t="s">
        <v>23</v>
      </c>
      <c r="I13" s="93">
        <v>593</v>
      </c>
      <c r="J13" s="116">
        <f>G13/I13*10000</f>
        <v>4.89038785834739</v>
      </c>
    </row>
    <row r="14" s="61" customFormat="1" ht="30" customHeight="1" spans="1:10">
      <c r="A14" s="89">
        <v>1.9</v>
      </c>
      <c r="B14" s="96" t="s">
        <v>29</v>
      </c>
      <c r="C14" s="91">
        <f t="shared" si="0"/>
        <v>9.56</v>
      </c>
      <c r="D14" s="94"/>
      <c r="E14" s="95"/>
      <c r="F14" s="94"/>
      <c r="G14" s="92">
        <v>9.56</v>
      </c>
      <c r="H14" s="93" t="s">
        <v>25</v>
      </c>
      <c r="I14" s="93">
        <f>1211+381.5</f>
        <v>1592.5</v>
      </c>
      <c r="J14" s="116">
        <f>G14/I14*10000</f>
        <v>60.0313971742543</v>
      </c>
    </row>
    <row r="15" s="61" customFormat="1" ht="30" customHeight="1" spans="1:10">
      <c r="A15" s="93">
        <v>1.1</v>
      </c>
      <c r="B15" s="96" t="s">
        <v>30</v>
      </c>
      <c r="C15" s="91">
        <f t="shared" si="0"/>
        <v>0.53</v>
      </c>
      <c r="D15" s="94"/>
      <c r="E15" s="95"/>
      <c r="F15" s="94"/>
      <c r="G15" s="92">
        <v>0.53</v>
      </c>
      <c r="H15" s="93" t="s">
        <v>25</v>
      </c>
      <c r="I15" s="93">
        <v>178</v>
      </c>
      <c r="J15" s="116">
        <f>G15/I15*10000</f>
        <v>29.7752808988764</v>
      </c>
    </row>
    <row r="16" s="61" customFormat="1" ht="30" customHeight="1" spans="1:10">
      <c r="A16" s="93">
        <v>1.11</v>
      </c>
      <c r="B16" s="96" t="s">
        <v>31</v>
      </c>
      <c r="C16" s="91">
        <f t="shared" si="0"/>
        <v>2.4</v>
      </c>
      <c r="D16" s="94"/>
      <c r="E16" s="95"/>
      <c r="F16" s="94"/>
      <c r="G16" s="92">
        <f t="shared" si="1"/>
        <v>2.4</v>
      </c>
      <c r="H16" s="93" t="s">
        <v>32</v>
      </c>
      <c r="I16" s="93">
        <v>6</v>
      </c>
      <c r="J16" s="116">
        <v>4000</v>
      </c>
    </row>
    <row r="17" s="61" customFormat="1" ht="30" customHeight="1" spans="1:10">
      <c r="A17" s="93"/>
      <c r="B17" s="96" t="s">
        <v>33</v>
      </c>
      <c r="C17" s="91">
        <f>SUM(C6:C16)</f>
        <v>154.024</v>
      </c>
      <c r="D17" s="94"/>
      <c r="E17" s="95"/>
      <c r="F17" s="94"/>
      <c r="G17" s="92">
        <f>SUM(G6:G16)</f>
        <v>154.024</v>
      </c>
      <c r="H17" s="93" t="s">
        <v>15</v>
      </c>
      <c r="I17" s="93"/>
      <c r="J17" s="116"/>
    </row>
    <row r="18" s="60" customFormat="1" ht="30" customHeight="1" spans="1:12">
      <c r="A18" s="81">
        <v>2</v>
      </c>
      <c r="B18" s="85" t="s">
        <v>34</v>
      </c>
      <c r="C18" s="86">
        <f>C24</f>
        <v>26.33115</v>
      </c>
      <c r="D18" s="83"/>
      <c r="E18" s="87"/>
      <c r="F18" s="83"/>
      <c r="G18" s="88">
        <f>G24</f>
        <v>26.33115</v>
      </c>
      <c r="H18" s="84"/>
      <c r="I18" s="84"/>
      <c r="J18" s="117"/>
      <c r="L18" s="60">
        <f>SUM(G19:G23)</f>
        <v>26.33115</v>
      </c>
    </row>
    <row r="19" s="61" customFormat="1" ht="30" customHeight="1" spans="1:10">
      <c r="A19" s="89">
        <v>2.1</v>
      </c>
      <c r="B19" s="96" t="s">
        <v>35</v>
      </c>
      <c r="C19" s="91">
        <f>G19</f>
        <v>8.53115</v>
      </c>
      <c r="D19" s="94"/>
      <c r="E19" s="95"/>
      <c r="F19" s="94"/>
      <c r="G19" s="92">
        <f>I19*J19/10000</f>
        <v>8.53115</v>
      </c>
      <c r="H19" s="93" t="s">
        <v>18</v>
      </c>
      <c r="I19" s="93">
        <v>17.59</v>
      </c>
      <c r="J19" s="116">
        <v>4850</v>
      </c>
    </row>
    <row r="20" s="61" customFormat="1" ht="30" customHeight="1" spans="1:11">
      <c r="A20" s="89">
        <v>2.2</v>
      </c>
      <c r="B20" s="96" t="s">
        <v>36</v>
      </c>
      <c r="C20" s="91">
        <f>G20</f>
        <v>4.15</v>
      </c>
      <c r="D20" s="94"/>
      <c r="E20" s="95"/>
      <c r="F20" s="94"/>
      <c r="G20" s="92">
        <f>I20*J20/10000</f>
        <v>4.15</v>
      </c>
      <c r="H20" s="93" t="s">
        <v>18</v>
      </c>
      <c r="I20" s="93">
        <v>10</v>
      </c>
      <c r="J20" s="116">
        <v>4150</v>
      </c>
      <c r="K20" s="61">
        <f>4.18+0.35</f>
        <v>4.53</v>
      </c>
    </row>
    <row r="21" s="61" customFormat="1" ht="30" customHeight="1" spans="1:10">
      <c r="A21" s="89">
        <v>2.3</v>
      </c>
      <c r="B21" s="96" t="s">
        <v>37</v>
      </c>
      <c r="C21" s="91">
        <f>G21</f>
        <v>4.15</v>
      </c>
      <c r="D21" s="94"/>
      <c r="E21" s="95"/>
      <c r="F21" s="94"/>
      <c r="G21" s="92">
        <f>I21*J21/10000</f>
        <v>4.15</v>
      </c>
      <c r="H21" s="93" t="s">
        <v>18</v>
      </c>
      <c r="I21" s="93">
        <v>10</v>
      </c>
      <c r="J21" s="116">
        <v>4150</v>
      </c>
    </row>
    <row r="22" s="61" customFormat="1" ht="30" customHeight="1" spans="1:10">
      <c r="A22" s="89">
        <v>2.4</v>
      </c>
      <c r="B22" s="96" t="s">
        <v>38</v>
      </c>
      <c r="C22" s="91">
        <f>G22</f>
        <v>8</v>
      </c>
      <c r="D22" s="94"/>
      <c r="E22" s="95"/>
      <c r="F22" s="94"/>
      <c r="G22" s="92">
        <v>8</v>
      </c>
      <c r="H22" s="93" t="s">
        <v>39</v>
      </c>
      <c r="I22" s="93">
        <v>1</v>
      </c>
      <c r="J22" s="116"/>
    </row>
    <row r="23" s="61" customFormat="1" ht="30" customHeight="1" spans="1:10">
      <c r="A23" s="89">
        <v>2.5</v>
      </c>
      <c r="B23" s="96" t="s">
        <v>40</v>
      </c>
      <c r="C23" s="91">
        <f>G23</f>
        <v>1.5</v>
      </c>
      <c r="D23" s="94"/>
      <c r="E23" s="95"/>
      <c r="F23" s="94"/>
      <c r="G23" s="92">
        <v>1.5</v>
      </c>
      <c r="H23" s="93" t="s">
        <v>15</v>
      </c>
      <c r="I23" s="93"/>
      <c r="J23" s="116"/>
    </row>
    <row r="24" s="61" customFormat="1" ht="30" customHeight="1" spans="1:12">
      <c r="A24" s="93"/>
      <c r="B24" s="96" t="s">
        <v>33</v>
      </c>
      <c r="C24" s="91">
        <f>SUM(C19:C23)</f>
        <v>26.33115</v>
      </c>
      <c r="D24" s="94"/>
      <c r="E24" s="95"/>
      <c r="F24" s="94"/>
      <c r="G24" s="92">
        <f>SUM(G19:G23)</f>
        <v>26.33115</v>
      </c>
      <c r="H24" s="93" t="s">
        <v>15</v>
      </c>
      <c r="I24" s="93"/>
      <c r="J24" s="116"/>
      <c r="L24" s="61" t="e">
        <f>SUM(L25,#REF!)</f>
        <v>#REF!</v>
      </c>
    </row>
    <row r="25" s="61" customFormat="1" ht="30" customHeight="1" spans="1:12">
      <c r="A25" s="81">
        <v>3</v>
      </c>
      <c r="B25" s="97" t="s">
        <v>41</v>
      </c>
      <c r="C25" s="86">
        <f>C33+C37</f>
        <v>65.43</v>
      </c>
      <c r="D25" s="86"/>
      <c r="E25" s="86"/>
      <c r="F25" s="83"/>
      <c r="G25" s="88">
        <f>C25</f>
        <v>65.43</v>
      </c>
      <c r="H25" s="84" t="s">
        <v>15</v>
      </c>
      <c r="I25" s="84"/>
      <c r="J25" s="116"/>
      <c r="L25" s="61">
        <f>SUM(G26:G32)</f>
        <v>43.59</v>
      </c>
    </row>
    <row r="26" s="61" customFormat="1" ht="30" customHeight="1" spans="1:10">
      <c r="A26" s="89">
        <v>3.1</v>
      </c>
      <c r="B26" s="96" t="s">
        <v>42</v>
      </c>
      <c r="C26" s="91">
        <f t="shared" ref="C26:C32" si="2">G26</f>
        <v>0.98</v>
      </c>
      <c r="D26" s="94"/>
      <c r="E26" s="95"/>
      <c r="F26" s="94"/>
      <c r="G26" s="92">
        <v>0.98</v>
      </c>
      <c r="H26" s="93" t="s">
        <v>23</v>
      </c>
      <c r="I26" s="93">
        <v>15</v>
      </c>
      <c r="J26" s="116">
        <f t="shared" ref="J26:J32" si="3">G26/I26*10000</f>
        <v>653.333333333333</v>
      </c>
    </row>
    <row r="27" s="61" customFormat="1" ht="30" customHeight="1" spans="1:10">
      <c r="A27" s="89">
        <v>3.3</v>
      </c>
      <c r="B27" s="96" t="s">
        <v>44</v>
      </c>
      <c r="C27" s="91">
        <f t="shared" si="2"/>
        <v>8.11</v>
      </c>
      <c r="D27" s="94"/>
      <c r="E27" s="95"/>
      <c r="F27" s="94"/>
      <c r="G27" s="92">
        <v>8.11</v>
      </c>
      <c r="H27" s="93" t="s">
        <v>23</v>
      </c>
      <c r="I27" s="93">
        <v>75</v>
      </c>
      <c r="J27" s="116">
        <f t="shared" si="3"/>
        <v>1081.33333333333</v>
      </c>
    </row>
    <row r="28" s="61" customFormat="1" ht="30" customHeight="1" spans="1:10">
      <c r="A28" s="89">
        <v>3.4</v>
      </c>
      <c r="B28" s="96" t="s">
        <v>45</v>
      </c>
      <c r="C28" s="91">
        <f t="shared" si="2"/>
        <v>27.4</v>
      </c>
      <c r="D28" s="94"/>
      <c r="E28" s="95"/>
      <c r="F28" s="94"/>
      <c r="G28" s="92">
        <v>27.4</v>
      </c>
      <c r="H28" s="93" t="s">
        <v>23</v>
      </c>
      <c r="I28" s="93">
        <v>320</v>
      </c>
      <c r="J28" s="116">
        <f t="shared" si="3"/>
        <v>856.25</v>
      </c>
    </row>
    <row r="29" s="61" customFormat="1" ht="30" customHeight="1" spans="1:10">
      <c r="A29" s="89">
        <v>3.5</v>
      </c>
      <c r="B29" s="90" t="s">
        <v>46</v>
      </c>
      <c r="C29" s="91">
        <f t="shared" si="2"/>
        <v>3.55</v>
      </c>
      <c r="D29" s="91"/>
      <c r="E29" s="91"/>
      <c r="F29" s="94"/>
      <c r="G29" s="92">
        <v>3.55</v>
      </c>
      <c r="H29" s="93" t="s">
        <v>39</v>
      </c>
      <c r="I29" s="93">
        <v>8</v>
      </c>
      <c r="J29" s="93">
        <f t="shared" si="3"/>
        <v>4437.5</v>
      </c>
    </row>
    <row r="30" s="61" customFormat="1" ht="30" customHeight="1" spans="1:10">
      <c r="A30" s="89">
        <v>3.6</v>
      </c>
      <c r="B30" s="90" t="s">
        <v>47</v>
      </c>
      <c r="C30" s="91">
        <f t="shared" si="2"/>
        <v>0.93</v>
      </c>
      <c r="D30" s="91"/>
      <c r="E30" s="91"/>
      <c r="F30" s="94"/>
      <c r="G30" s="92">
        <v>0.93</v>
      </c>
      <c r="H30" s="93" t="s">
        <v>39</v>
      </c>
      <c r="I30" s="93">
        <v>2</v>
      </c>
      <c r="J30" s="93">
        <f t="shared" si="3"/>
        <v>4650</v>
      </c>
    </row>
    <row r="31" s="61" customFormat="1" ht="30" customHeight="1" spans="1:10">
      <c r="A31" s="89">
        <v>3.7</v>
      </c>
      <c r="B31" s="90" t="s">
        <v>48</v>
      </c>
      <c r="C31" s="91">
        <f t="shared" si="2"/>
        <v>1.74</v>
      </c>
      <c r="D31" s="91"/>
      <c r="E31" s="91"/>
      <c r="F31" s="94"/>
      <c r="G31" s="92">
        <v>1.74</v>
      </c>
      <c r="H31" s="93" t="s">
        <v>39</v>
      </c>
      <c r="I31" s="93">
        <v>2</v>
      </c>
      <c r="J31" s="93">
        <f t="shared" si="3"/>
        <v>8700</v>
      </c>
    </row>
    <row r="32" s="61" customFormat="1" ht="30" customHeight="1" spans="1:10">
      <c r="A32" s="89">
        <v>3.8</v>
      </c>
      <c r="B32" s="90" t="s">
        <v>49</v>
      </c>
      <c r="C32" s="91">
        <f t="shared" si="2"/>
        <v>0.88</v>
      </c>
      <c r="D32" s="94"/>
      <c r="E32" s="95"/>
      <c r="F32" s="94"/>
      <c r="G32" s="92">
        <v>0.88</v>
      </c>
      <c r="H32" s="93" t="s">
        <v>50</v>
      </c>
      <c r="I32" s="93">
        <v>6</v>
      </c>
      <c r="J32" s="93">
        <f t="shared" si="3"/>
        <v>1466.66666666667</v>
      </c>
    </row>
    <row r="33" s="61" customFormat="1" ht="30" customHeight="1" spans="1:10">
      <c r="A33" s="93"/>
      <c r="B33" s="96" t="s">
        <v>33</v>
      </c>
      <c r="C33" s="91">
        <f>SUM(C26:C32)</f>
        <v>43.59</v>
      </c>
      <c r="D33" s="94"/>
      <c r="E33" s="95"/>
      <c r="F33" s="94"/>
      <c r="G33" s="92">
        <f>SUM(G26:G32)</f>
        <v>43.59</v>
      </c>
      <c r="H33" s="93" t="s">
        <v>15</v>
      </c>
      <c r="I33" s="93"/>
      <c r="J33" s="116"/>
    </row>
    <row r="34" s="61" customFormat="1" ht="30" customHeight="1" spans="1:11">
      <c r="A34" s="89">
        <v>3.1</v>
      </c>
      <c r="B34" s="96" t="s">
        <v>45</v>
      </c>
      <c r="C34" s="91">
        <f>G34</f>
        <v>4.22</v>
      </c>
      <c r="D34" s="94"/>
      <c r="E34" s="95"/>
      <c r="F34" s="94"/>
      <c r="G34" s="92">
        <v>4.22</v>
      </c>
      <c r="H34" s="93" t="s">
        <v>23</v>
      </c>
      <c r="I34" s="93">
        <v>38</v>
      </c>
      <c r="J34" s="116">
        <f>G34/I34*10000</f>
        <v>1110.52631578947</v>
      </c>
      <c r="K34" s="62" t="s">
        <v>83</v>
      </c>
    </row>
    <row r="35" s="61" customFormat="1" ht="30" customHeight="1" spans="1:11">
      <c r="A35" s="89">
        <v>3.2</v>
      </c>
      <c r="B35" s="96" t="s">
        <v>86</v>
      </c>
      <c r="C35" s="91">
        <f>G35</f>
        <v>15.92</v>
      </c>
      <c r="D35" s="94"/>
      <c r="E35" s="95"/>
      <c r="F35" s="94"/>
      <c r="G35" s="92">
        <v>15.92</v>
      </c>
      <c r="H35" s="93" t="s">
        <v>23</v>
      </c>
      <c r="I35" s="93">
        <v>90</v>
      </c>
      <c r="J35" s="116">
        <f>G35/I35*10000</f>
        <v>1768.88888888889</v>
      </c>
      <c r="K35" s="62" t="s">
        <v>84</v>
      </c>
    </row>
    <row r="36" s="61" customFormat="1" ht="30" customHeight="1" spans="1:11">
      <c r="A36" s="89">
        <v>3.3</v>
      </c>
      <c r="B36" s="90" t="s">
        <v>54</v>
      </c>
      <c r="C36" s="91">
        <f>G36</f>
        <v>1.7</v>
      </c>
      <c r="D36" s="91"/>
      <c r="E36" s="91"/>
      <c r="F36" s="94"/>
      <c r="G36" s="92">
        <v>1.7</v>
      </c>
      <c r="H36" s="93" t="s">
        <v>39</v>
      </c>
      <c r="I36" s="93">
        <v>4</v>
      </c>
      <c r="J36" s="93">
        <f>G36/I36*10000</f>
        <v>4250</v>
      </c>
      <c r="K36" s="61" t="s">
        <v>85</v>
      </c>
    </row>
    <row r="37" s="61" customFormat="1" ht="30" customHeight="1" spans="1:10">
      <c r="A37" s="93"/>
      <c r="B37" s="96" t="s">
        <v>33</v>
      </c>
      <c r="C37" s="91">
        <f>SUM(C34:C36)</f>
        <v>21.84</v>
      </c>
      <c r="D37" s="91"/>
      <c r="E37" s="91"/>
      <c r="F37" s="94"/>
      <c r="G37" s="92">
        <f>SUM(G34:G36)</f>
        <v>21.84</v>
      </c>
      <c r="H37" s="93" t="s">
        <v>15</v>
      </c>
      <c r="I37" s="93"/>
      <c r="J37" s="116"/>
    </row>
    <row r="38" s="61" customFormat="1" ht="30" customHeight="1" spans="1:10">
      <c r="A38" s="93"/>
      <c r="B38" s="96"/>
      <c r="C38" s="91"/>
      <c r="D38" s="91"/>
      <c r="E38" s="91"/>
      <c r="F38" s="94"/>
      <c r="G38" s="92"/>
      <c r="H38" s="93"/>
      <c r="I38" s="93"/>
      <c r="J38" s="116"/>
    </row>
    <row r="39" s="61" customFormat="1" ht="30" customHeight="1" spans="1:10">
      <c r="A39" s="81">
        <v>5</v>
      </c>
      <c r="B39" s="97" t="s">
        <v>55</v>
      </c>
      <c r="C39" s="86">
        <f>C45</f>
        <v>11.04</v>
      </c>
      <c r="D39" s="86">
        <f>D45</f>
        <v>0</v>
      </c>
      <c r="E39" s="86">
        <f>E45</f>
        <v>1.66</v>
      </c>
      <c r="F39" s="83"/>
      <c r="G39" s="88">
        <f>C39+D39+E39</f>
        <v>12.7</v>
      </c>
      <c r="H39" s="84" t="s">
        <v>15</v>
      </c>
      <c r="I39" s="84"/>
      <c r="J39" s="116"/>
    </row>
    <row r="40" s="62" customFormat="1" ht="30" customHeight="1" spans="1:10">
      <c r="A40" s="89">
        <v>5.1</v>
      </c>
      <c r="B40" s="96" t="s">
        <v>56</v>
      </c>
      <c r="C40" s="91">
        <v>0.13</v>
      </c>
      <c r="D40" s="94"/>
      <c r="E40" s="95">
        <v>0.2</v>
      </c>
      <c r="F40" s="94"/>
      <c r="G40" s="92">
        <f>C40+D40+E40</f>
        <v>0.33</v>
      </c>
      <c r="H40" s="93" t="s">
        <v>23</v>
      </c>
      <c r="I40" s="93">
        <v>5</v>
      </c>
      <c r="J40" s="116">
        <f>G40/I40*10000</f>
        <v>660</v>
      </c>
    </row>
    <row r="41" s="61" customFormat="1" ht="30" customHeight="1" spans="1:10">
      <c r="A41" s="89">
        <v>5.2</v>
      </c>
      <c r="B41" s="96" t="s">
        <v>57</v>
      </c>
      <c r="C41" s="91">
        <v>6.57</v>
      </c>
      <c r="D41" s="94"/>
      <c r="E41" s="95">
        <v>1.46</v>
      </c>
      <c r="F41" s="94"/>
      <c r="G41" s="92">
        <f>C41+D41+E41</f>
        <v>8.03</v>
      </c>
      <c r="H41" s="93" t="s">
        <v>23</v>
      </c>
      <c r="I41" s="93">
        <v>350</v>
      </c>
      <c r="J41" s="116">
        <f>G41/I41*10000</f>
        <v>229.428571428571</v>
      </c>
    </row>
    <row r="42" s="61" customFormat="1" ht="30" customHeight="1" spans="1:10">
      <c r="A42" s="89">
        <v>5.3</v>
      </c>
      <c r="B42" s="90" t="s">
        <v>87</v>
      </c>
      <c r="C42" s="91">
        <f>G42</f>
        <v>1.6</v>
      </c>
      <c r="D42" s="91"/>
      <c r="E42" s="91"/>
      <c r="F42" s="94"/>
      <c r="G42" s="92">
        <v>1.6</v>
      </c>
      <c r="H42" s="93" t="s">
        <v>39</v>
      </c>
      <c r="I42" s="93">
        <v>3</v>
      </c>
      <c r="J42" s="93">
        <f>G42/I42*10000</f>
        <v>5333.33333333333</v>
      </c>
    </row>
    <row r="43" s="61" customFormat="1" ht="30" customHeight="1" spans="1:10">
      <c r="A43" s="89">
        <v>5.4</v>
      </c>
      <c r="B43" s="90" t="s">
        <v>59</v>
      </c>
      <c r="C43" s="91">
        <f>G43</f>
        <v>0.71</v>
      </c>
      <c r="D43" s="91"/>
      <c r="E43" s="91"/>
      <c r="F43" s="94"/>
      <c r="G43" s="92">
        <v>0.71</v>
      </c>
      <c r="H43" s="93" t="s">
        <v>39</v>
      </c>
      <c r="I43" s="93">
        <v>2</v>
      </c>
      <c r="J43" s="93">
        <f>G43/I43*10000</f>
        <v>3550</v>
      </c>
    </row>
    <row r="44" s="61" customFormat="1" ht="30" customHeight="1" spans="1:10">
      <c r="A44" s="89">
        <v>5.5</v>
      </c>
      <c r="B44" s="90" t="s">
        <v>60</v>
      </c>
      <c r="C44" s="91">
        <f>G44</f>
        <v>2.03</v>
      </c>
      <c r="D44" s="91"/>
      <c r="E44" s="91"/>
      <c r="F44" s="94"/>
      <c r="G44" s="92">
        <v>2.03</v>
      </c>
      <c r="H44" s="93" t="s">
        <v>15</v>
      </c>
      <c r="I44" s="93"/>
      <c r="J44" s="93"/>
    </row>
    <row r="45" s="61" customFormat="1" ht="30" customHeight="1" spans="1:10">
      <c r="A45" s="93"/>
      <c r="B45" s="96" t="s">
        <v>33</v>
      </c>
      <c r="C45" s="91">
        <f>SUM(C40:C44)</f>
        <v>11.04</v>
      </c>
      <c r="D45" s="91">
        <f>SUM(D40:D44)</f>
        <v>0</v>
      </c>
      <c r="E45" s="91">
        <f>SUM(E40:E44)</f>
        <v>1.66</v>
      </c>
      <c r="F45" s="94"/>
      <c r="G45" s="92">
        <f>SUM(G40:G44)</f>
        <v>12.7</v>
      </c>
      <c r="H45" s="93" t="s">
        <v>15</v>
      </c>
      <c r="I45" s="93"/>
      <c r="J45" s="116"/>
    </row>
    <row r="46" s="61" customFormat="1" ht="30" customHeight="1" spans="1:10">
      <c r="A46" s="81">
        <v>6</v>
      </c>
      <c r="B46" s="85" t="s">
        <v>61</v>
      </c>
      <c r="C46" s="86">
        <f>I46*J46/10000</f>
        <v>16.74</v>
      </c>
      <c r="D46" s="86"/>
      <c r="E46" s="86"/>
      <c r="F46" s="83"/>
      <c r="G46" s="88">
        <f>I46*J46/10000</f>
        <v>16.74</v>
      </c>
      <c r="H46" s="84" t="s">
        <v>62</v>
      </c>
      <c r="I46" s="84">
        <v>18</v>
      </c>
      <c r="J46" s="84">
        <v>9300</v>
      </c>
    </row>
    <row r="47" s="60" customFormat="1" ht="30" customHeight="1" spans="1:10">
      <c r="A47" s="81"/>
      <c r="B47" s="85"/>
      <c r="C47" s="86"/>
      <c r="D47" s="86"/>
      <c r="E47" s="86"/>
      <c r="F47" s="83"/>
      <c r="G47" s="88"/>
      <c r="H47" s="84"/>
      <c r="I47" s="84"/>
      <c r="J47" s="117"/>
    </row>
    <row r="48" s="60" customFormat="1" ht="29.1" customHeight="1" spans="1:19">
      <c r="A48" s="98" t="s">
        <v>63</v>
      </c>
      <c r="B48" s="82" t="s">
        <v>64</v>
      </c>
      <c r="C48" s="83">
        <f>C60</f>
        <v>46.3847522666667</v>
      </c>
      <c r="D48" s="83"/>
      <c r="E48" s="83"/>
      <c r="F48" s="83"/>
      <c r="G48" s="88">
        <f>C48</f>
        <v>46.3847522666667</v>
      </c>
      <c r="H48" s="84" t="s">
        <v>15</v>
      </c>
      <c r="I48" s="84"/>
      <c r="J48" s="83"/>
      <c r="M48" s="61"/>
      <c r="N48" s="61"/>
      <c r="O48" s="61"/>
      <c r="P48" s="61"/>
      <c r="Q48" s="61"/>
      <c r="R48" s="61"/>
      <c r="S48" s="61"/>
    </row>
    <row r="49" s="61" customFormat="1" ht="30" customHeight="1" spans="1:13">
      <c r="A49" s="99">
        <v>1</v>
      </c>
      <c r="B49" s="100" t="s">
        <v>65</v>
      </c>
      <c r="C49" s="94">
        <f t="shared" ref="C49:C59" si="4">G49</f>
        <v>4.44685</v>
      </c>
      <c r="D49" s="94"/>
      <c r="E49" s="94"/>
      <c r="F49" s="94"/>
      <c r="G49" s="92">
        <f>I49*0.033*0.5+0.01</f>
        <v>4.44685</v>
      </c>
      <c r="H49" s="93" t="s">
        <v>15</v>
      </c>
      <c r="I49" s="93">
        <v>268.9</v>
      </c>
      <c r="J49" s="118">
        <f>G49/I49</f>
        <v>0.0165371885459279</v>
      </c>
      <c r="L49" s="60"/>
      <c r="M49" s="60"/>
    </row>
    <row r="50" s="60" customFormat="1" ht="30" customHeight="1" spans="1:21">
      <c r="A50" s="99">
        <v>2</v>
      </c>
      <c r="B50" s="100" t="s">
        <v>66</v>
      </c>
      <c r="C50" s="94">
        <f t="shared" si="4"/>
        <v>0.578135</v>
      </c>
      <c r="D50" s="94"/>
      <c r="E50" s="94"/>
      <c r="F50" s="94"/>
      <c r="G50" s="92">
        <f>I50*0.43%*0.5</f>
        <v>0.578135</v>
      </c>
      <c r="H50" s="93" t="s">
        <v>15</v>
      </c>
      <c r="I50" s="93">
        <f>I49</f>
        <v>268.9</v>
      </c>
      <c r="J50" s="118">
        <f>G50/I50</f>
        <v>0.00215</v>
      </c>
      <c r="N50" s="61"/>
      <c r="O50" s="61"/>
      <c r="P50" s="61"/>
      <c r="Q50" s="61"/>
      <c r="R50" s="61"/>
      <c r="S50" s="61"/>
      <c r="T50" s="61"/>
      <c r="U50" s="61"/>
    </row>
    <row r="51" s="60" customFormat="1" ht="30" customHeight="1" spans="1:21">
      <c r="A51" s="99">
        <v>3</v>
      </c>
      <c r="B51" s="100" t="s">
        <v>67</v>
      </c>
      <c r="C51" s="94">
        <f t="shared" si="4"/>
        <v>0.40335</v>
      </c>
      <c r="D51" s="94"/>
      <c r="E51" s="94"/>
      <c r="F51" s="94"/>
      <c r="G51" s="92">
        <f>I51*J51</f>
        <v>0.40335</v>
      </c>
      <c r="H51" s="93" t="s">
        <v>15</v>
      </c>
      <c r="I51" s="93">
        <f>I49</f>
        <v>268.9</v>
      </c>
      <c r="J51" s="118">
        <v>0.0015</v>
      </c>
      <c r="N51" s="61"/>
      <c r="O51" s="61"/>
      <c r="P51" s="61"/>
      <c r="Q51" s="61"/>
      <c r="R51" s="61"/>
      <c r="S51" s="61"/>
      <c r="T51" s="61"/>
      <c r="U51" s="61"/>
    </row>
    <row r="52" s="60" customFormat="1" ht="30" customHeight="1" spans="1:21">
      <c r="A52" s="99">
        <v>4</v>
      </c>
      <c r="B52" s="100" t="s">
        <v>68</v>
      </c>
      <c r="C52" s="94">
        <f t="shared" si="4"/>
        <v>0.40335</v>
      </c>
      <c r="D52" s="94"/>
      <c r="E52" s="94"/>
      <c r="F52" s="94"/>
      <c r="G52" s="92">
        <f>I52*J52</f>
        <v>0.40335</v>
      </c>
      <c r="H52" s="93" t="s">
        <v>15</v>
      </c>
      <c r="I52" s="93">
        <f>I49</f>
        <v>268.9</v>
      </c>
      <c r="J52" s="118">
        <v>0.0015</v>
      </c>
      <c r="N52" s="61"/>
      <c r="O52" s="61"/>
      <c r="P52" s="61"/>
      <c r="Q52" s="61"/>
      <c r="R52" s="61"/>
      <c r="S52" s="61"/>
      <c r="T52" s="61"/>
      <c r="U52" s="61"/>
    </row>
    <row r="53" s="61" customFormat="1" ht="30" customHeight="1" spans="1:14">
      <c r="A53" s="99">
        <v>5</v>
      </c>
      <c r="B53" s="100" t="s">
        <v>69</v>
      </c>
      <c r="C53" s="94">
        <f t="shared" si="4"/>
        <v>6.96741726666667</v>
      </c>
      <c r="D53" s="94"/>
      <c r="E53" s="94"/>
      <c r="F53" s="94"/>
      <c r="G53" s="92">
        <f>((I53-200)*(20.9-9)/300+9)*0.5+G4*0.0056*0.5/0.7</f>
        <v>6.96741726666667</v>
      </c>
      <c r="H53" s="93" t="s">
        <v>15</v>
      </c>
      <c r="I53" s="93">
        <f>I49</f>
        <v>268.9</v>
      </c>
      <c r="J53" s="118">
        <f>G53/I53</f>
        <v>0.0259108117019958</v>
      </c>
      <c r="L53" s="60"/>
      <c r="M53" s="60"/>
      <c r="N53" s="119"/>
    </row>
    <row r="54" s="61" customFormat="1" ht="30" customHeight="1" spans="1:13">
      <c r="A54" s="99">
        <v>6</v>
      </c>
      <c r="B54" s="100" t="s">
        <v>70</v>
      </c>
      <c r="C54" s="94">
        <f t="shared" si="4"/>
        <v>0.40335</v>
      </c>
      <c r="D54" s="94"/>
      <c r="E54" s="94"/>
      <c r="F54" s="94"/>
      <c r="G54" s="92">
        <f>I54*J54</f>
        <v>0.40335</v>
      </c>
      <c r="H54" s="93" t="s">
        <v>15</v>
      </c>
      <c r="I54" s="93">
        <v>268.9</v>
      </c>
      <c r="J54" s="118">
        <v>0.0015</v>
      </c>
      <c r="L54" s="60"/>
      <c r="M54" s="60"/>
    </row>
    <row r="55" s="61" customFormat="1" ht="30" customHeight="1" spans="1:14">
      <c r="A55" s="99">
        <v>7</v>
      </c>
      <c r="B55" s="101" t="s">
        <v>71</v>
      </c>
      <c r="C55" s="94">
        <f t="shared" si="4"/>
        <v>3</v>
      </c>
      <c r="D55" s="94"/>
      <c r="E55" s="94"/>
      <c r="F55" s="94"/>
      <c r="G55" s="92">
        <v>3</v>
      </c>
      <c r="H55" s="93" t="s">
        <v>15</v>
      </c>
      <c r="I55" s="93">
        <v>268.9</v>
      </c>
      <c r="J55" s="118">
        <f>G55/I55</f>
        <v>0.0111565637783563</v>
      </c>
      <c r="L55" s="60"/>
      <c r="M55" s="60"/>
      <c r="N55" s="119"/>
    </row>
    <row r="56" s="61" customFormat="1" ht="30" customHeight="1" spans="1:13">
      <c r="A56" s="99">
        <v>8</v>
      </c>
      <c r="B56" s="101" t="s">
        <v>72</v>
      </c>
      <c r="C56" s="94">
        <f t="shared" si="4"/>
        <v>2</v>
      </c>
      <c r="D56" s="94"/>
      <c r="E56" s="94"/>
      <c r="F56" s="94"/>
      <c r="G56" s="92">
        <v>2</v>
      </c>
      <c r="H56" s="93" t="s">
        <v>15</v>
      </c>
      <c r="I56" s="93">
        <v>268.9</v>
      </c>
      <c r="J56" s="118">
        <f>G56/I56</f>
        <v>0.00743770918557084</v>
      </c>
      <c r="L56" s="60"/>
      <c r="M56" s="60"/>
    </row>
    <row r="57" s="61" customFormat="1" ht="30" customHeight="1" spans="1:13">
      <c r="A57" s="99">
        <v>9</v>
      </c>
      <c r="B57" s="101" t="s">
        <v>73</v>
      </c>
      <c r="C57" s="94">
        <f t="shared" si="4"/>
        <v>1</v>
      </c>
      <c r="D57" s="94"/>
      <c r="E57" s="94"/>
      <c r="F57" s="94"/>
      <c r="G57" s="94">
        <v>1</v>
      </c>
      <c r="H57" s="93" t="s">
        <v>15</v>
      </c>
      <c r="I57" s="93">
        <f>I53</f>
        <v>268.9</v>
      </c>
      <c r="J57" s="118">
        <f>G57/I57</f>
        <v>0.00371885459278542</v>
      </c>
      <c r="L57" s="60"/>
      <c r="M57" s="60"/>
    </row>
    <row r="58" s="61" customFormat="1" ht="30" customHeight="1" spans="1:13">
      <c r="A58" s="99">
        <v>10</v>
      </c>
      <c r="B58" s="101" t="s">
        <v>74</v>
      </c>
      <c r="C58" s="94">
        <f t="shared" si="4"/>
        <v>2.1823</v>
      </c>
      <c r="D58" s="94"/>
      <c r="E58" s="94"/>
      <c r="F58" s="94"/>
      <c r="G58" s="94">
        <f>((I58-100)*0.7%+1)</f>
        <v>2.1823</v>
      </c>
      <c r="H58" s="93" t="s">
        <v>15</v>
      </c>
      <c r="I58" s="93">
        <f>I57</f>
        <v>268.9</v>
      </c>
      <c r="J58" s="118">
        <f>G58/I58</f>
        <v>0.00811565637783563</v>
      </c>
      <c r="L58" s="60"/>
      <c r="M58" s="60"/>
    </row>
    <row r="59" s="61" customFormat="1" ht="30" customHeight="1" spans="1:13">
      <c r="A59" s="99">
        <v>11</v>
      </c>
      <c r="B59" s="101" t="s">
        <v>75</v>
      </c>
      <c r="C59" s="94">
        <f t="shared" si="4"/>
        <v>25</v>
      </c>
      <c r="D59" s="94"/>
      <c r="E59" s="94"/>
      <c r="F59" s="94"/>
      <c r="G59" s="94">
        <v>25</v>
      </c>
      <c r="H59" s="101" t="s">
        <v>15</v>
      </c>
      <c r="I59" s="101"/>
      <c r="J59" s="101"/>
      <c r="L59" s="60"/>
      <c r="M59" s="60"/>
    </row>
    <row r="60" s="61" customFormat="1" ht="30" customHeight="1" spans="1:13">
      <c r="A60" s="102"/>
      <c r="B60" s="101" t="s">
        <v>33</v>
      </c>
      <c r="C60" s="94">
        <f>SUM(C49:C59)</f>
        <v>46.3847522666667</v>
      </c>
      <c r="D60" s="94"/>
      <c r="E60" s="94"/>
      <c r="F60" s="94"/>
      <c r="G60" s="94">
        <f>SUM(G49:G59)</f>
        <v>46.3847522666667</v>
      </c>
      <c r="H60" s="93" t="s">
        <v>15</v>
      </c>
      <c r="I60" s="102"/>
      <c r="J60" s="102"/>
      <c r="L60" s="60"/>
      <c r="M60" s="60"/>
    </row>
    <row r="61" s="63" customFormat="1" ht="30" customHeight="1" spans="1:19">
      <c r="A61" s="103" t="s">
        <v>76</v>
      </c>
      <c r="B61" s="82" t="s">
        <v>77</v>
      </c>
      <c r="C61" s="83">
        <f>G61</f>
        <v>16.0804951133333</v>
      </c>
      <c r="D61" s="83"/>
      <c r="E61" s="83"/>
      <c r="F61" s="83"/>
      <c r="G61" s="88">
        <f>I61*J61</f>
        <v>16.0804951133333</v>
      </c>
      <c r="H61" s="84" t="s">
        <v>15</v>
      </c>
      <c r="I61" s="120">
        <f>G4+G48</f>
        <v>321.609902266667</v>
      </c>
      <c r="J61" s="121">
        <v>0.05</v>
      </c>
      <c r="M61" s="61"/>
      <c r="N61" s="61"/>
      <c r="O61" s="61"/>
      <c r="P61" s="61"/>
      <c r="Q61" s="61"/>
      <c r="R61" s="61"/>
      <c r="S61" s="61"/>
    </row>
    <row r="62" s="64" customFormat="1" ht="30" customHeight="1" spans="1:19">
      <c r="A62" s="103" t="s">
        <v>78</v>
      </c>
      <c r="B62" s="82" t="s">
        <v>79</v>
      </c>
      <c r="C62" s="83">
        <f>C4</f>
        <v>273.56515</v>
      </c>
      <c r="D62" s="83">
        <f>D4</f>
        <v>0</v>
      </c>
      <c r="E62" s="83">
        <f>E4</f>
        <v>1.45</v>
      </c>
      <c r="F62" s="83">
        <f>G61+G48</f>
        <v>62.46524738</v>
      </c>
      <c r="G62" s="83">
        <f>C62+D62+E62+F62</f>
        <v>337.48039738</v>
      </c>
      <c r="H62" s="84" t="s">
        <v>15</v>
      </c>
      <c r="I62" s="84"/>
      <c r="J62" s="83"/>
      <c r="K62" s="64">
        <v>331.01</v>
      </c>
      <c r="L62" s="64">
        <f>G62-K62</f>
        <v>6.47039738000001</v>
      </c>
      <c r="M62" s="61"/>
      <c r="N62" s="61"/>
      <c r="O62" s="61"/>
      <c r="P62" s="61"/>
      <c r="Q62" s="61"/>
      <c r="R62" s="61"/>
      <c r="S62" s="61"/>
    </row>
    <row r="63" s="65" customFormat="1" ht="30" customHeight="1" spans="1:19">
      <c r="A63" s="103" t="s">
        <v>80</v>
      </c>
      <c r="B63" s="105" t="s">
        <v>81</v>
      </c>
      <c r="C63" s="106">
        <f>C62/G62</f>
        <v>0.810610489153739</v>
      </c>
      <c r="D63" s="106">
        <f>D62/G62</f>
        <v>0</v>
      </c>
      <c r="E63" s="106">
        <f>E62/G62</f>
        <v>0.00429654584757204</v>
      </c>
      <c r="F63" s="107">
        <f>F62/G62</f>
        <v>0.185092964998689</v>
      </c>
      <c r="G63" s="106">
        <f>SUM(C63:F63)</f>
        <v>1</v>
      </c>
      <c r="H63" s="108"/>
      <c r="I63" s="120"/>
      <c r="J63" s="122"/>
      <c r="M63" s="61"/>
      <c r="N63" s="61"/>
      <c r="O63" s="61"/>
      <c r="P63" s="61"/>
      <c r="Q63" s="61"/>
      <c r="R63" s="61"/>
      <c r="S63" s="61"/>
    </row>
    <row r="64" ht="21.95" customHeight="1" spans="1:19">
      <c r="A64" s="109"/>
      <c r="B64" s="110"/>
      <c r="C64" s="110"/>
      <c r="D64" s="111"/>
      <c r="E64" s="112"/>
      <c r="F64" s="113"/>
      <c r="G64" s="113"/>
      <c r="H64" s="114"/>
      <c r="M64" s="61"/>
      <c r="N64" s="61"/>
      <c r="O64" s="61"/>
      <c r="P64" s="61"/>
      <c r="Q64" s="61"/>
      <c r="R64" s="61"/>
      <c r="S64" s="61"/>
    </row>
    <row r="65" ht="21.95" customHeight="1" spans="1:19">
      <c r="A65" s="109"/>
      <c r="B65" s="61"/>
      <c r="C65" s="61"/>
      <c r="D65" s="61"/>
      <c r="E65" s="61"/>
      <c r="F65" s="61"/>
      <c r="G65" s="61"/>
      <c r="H65" s="61"/>
      <c r="I65" s="61"/>
      <c r="M65" s="61"/>
      <c r="N65" s="61"/>
      <c r="O65" s="61"/>
      <c r="P65" s="61"/>
      <c r="Q65" s="61"/>
      <c r="R65" s="61"/>
      <c r="S65" s="61"/>
    </row>
    <row r="66" ht="21.95" customHeight="1" spans="1:8">
      <c r="A66" s="109"/>
      <c r="B66" s="110"/>
      <c r="C66" s="110"/>
      <c r="D66" s="111"/>
      <c r="E66" s="112"/>
      <c r="F66" s="115"/>
      <c r="G66" s="113"/>
      <c r="H66" s="114"/>
    </row>
    <row r="67" ht="21.95" customHeight="1" spans="1:8">
      <c r="A67" s="109"/>
      <c r="B67" s="110"/>
      <c r="C67" s="110"/>
      <c r="D67" s="111"/>
      <c r="E67" s="112"/>
      <c r="F67" s="115"/>
      <c r="G67" s="113"/>
      <c r="H67" s="114"/>
    </row>
    <row r="68" ht="21.95" customHeight="1" spans="1:8">
      <c r="A68" s="109"/>
      <c r="B68" s="110"/>
      <c r="C68" s="110"/>
      <c r="D68" s="111"/>
      <c r="E68" s="112"/>
      <c r="F68" s="115"/>
      <c r="G68" s="113"/>
      <c r="H68" s="114"/>
    </row>
    <row r="69" ht="21.95" customHeight="1" spans="1:8">
      <c r="A69" s="109"/>
      <c r="B69" s="110"/>
      <c r="C69" s="110"/>
      <c r="D69" s="111"/>
      <c r="E69" s="112"/>
      <c r="F69" s="115"/>
      <c r="G69" s="113"/>
      <c r="H69" s="114"/>
    </row>
    <row r="70" ht="21.95" customHeight="1" spans="1:8">
      <c r="A70" s="109"/>
      <c r="B70" s="110"/>
      <c r="C70" s="110"/>
      <c r="D70" s="111"/>
      <c r="E70" s="112"/>
      <c r="F70" s="115"/>
      <c r="G70" s="113"/>
      <c r="H70" s="114"/>
    </row>
    <row r="71" ht="21.95" customHeight="1" spans="1:8">
      <c r="A71" s="109"/>
      <c r="B71" s="110"/>
      <c r="C71" s="110"/>
      <c r="D71" s="111"/>
      <c r="E71" s="112"/>
      <c r="F71" s="115"/>
      <c r="G71" s="113"/>
      <c r="H71" s="114"/>
    </row>
    <row r="72" ht="21.95" customHeight="1" spans="1:8">
      <c r="A72" s="109"/>
      <c r="B72" s="110"/>
      <c r="C72" s="110"/>
      <c r="D72" s="111"/>
      <c r="E72" s="112"/>
      <c r="F72" s="115"/>
      <c r="G72" s="113"/>
      <c r="H72" s="114"/>
    </row>
    <row r="73" ht="21.95" customHeight="1" spans="1:8">
      <c r="A73" s="109"/>
      <c r="B73" s="110"/>
      <c r="C73" s="110"/>
      <c r="D73" s="111"/>
      <c r="E73" s="112"/>
      <c r="F73" s="115"/>
      <c r="G73" s="113"/>
      <c r="H73" s="114"/>
    </row>
    <row r="74" ht="21.95" customHeight="1" spans="1:8">
      <c r="A74" s="109"/>
      <c r="B74" s="110"/>
      <c r="C74" s="110"/>
      <c r="D74" s="111"/>
      <c r="E74" s="112"/>
      <c r="F74" s="115"/>
      <c r="G74" s="113"/>
      <c r="H74" s="114"/>
    </row>
    <row r="75" ht="21.95" customHeight="1" spans="1:8">
      <c r="A75" s="109"/>
      <c r="B75" s="110"/>
      <c r="C75" s="110"/>
      <c r="D75" s="111"/>
      <c r="E75" s="112"/>
      <c r="F75" s="115"/>
      <c r="G75" s="113"/>
      <c r="H75" s="114"/>
    </row>
    <row r="76" ht="21.95" customHeight="1" spans="1:8">
      <c r="A76" s="109"/>
      <c r="B76" s="110"/>
      <c r="C76" s="110"/>
      <c r="D76" s="111"/>
      <c r="E76" s="112"/>
      <c r="F76" s="115"/>
      <c r="G76" s="113"/>
      <c r="H76" s="114"/>
    </row>
    <row r="77" ht="21.95" customHeight="1" spans="1:8">
      <c r="A77" s="109"/>
      <c r="B77" s="110"/>
      <c r="C77" s="110"/>
      <c r="D77" s="111"/>
      <c r="E77" s="112"/>
      <c r="F77" s="115"/>
      <c r="G77" s="113"/>
      <c r="H77" s="114"/>
    </row>
    <row r="78" ht="21.95" customHeight="1" spans="1:8">
      <c r="A78" s="109"/>
      <c r="B78" s="110"/>
      <c r="C78" s="110"/>
      <c r="D78" s="111"/>
      <c r="E78" s="112"/>
      <c r="F78" s="115"/>
      <c r="G78" s="113"/>
      <c r="H78" s="114"/>
    </row>
    <row r="79" ht="21.95" customHeight="1" spans="1:8">
      <c r="A79" s="109"/>
      <c r="B79" s="110"/>
      <c r="C79" s="110"/>
      <c r="D79" s="111"/>
      <c r="E79" s="112"/>
      <c r="F79" s="115"/>
      <c r="G79" s="113"/>
      <c r="H79" s="114"/>
    </row>
    <row r="80" s="66" customFormat="1" ht="21.95" customHeight="1" spans="1:21">
      <c r="A80" s="109"/>
      <c r="B80" s="110"/>
      <c r="C80" s="110"/>
      <c r="D80" s="111"/>
      <c r="E80" s="112"/>
      <c r="F80" s="115"/>
      <c r="G80" s="113"/>
      <c r="H80" s="114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="66" customFormat="1" ht="21.95" customHeight="1" spans="1:21">
      <c r="A81" s="109"/>
      <c r="B81" s="110"/>
      <c r="C81" s="110"/>
      <c r="D81" s="111"/>
      <c r="E81" s="112"/>
      <c r="F81" s="115"/>
      <c r="G81" s="113"/>
      <c r="H81" s="114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="66" customFormat="1" ht="21.95" customHeight="1" spans="1:21">
      <c r="A82" s="109"/>
      <c r="B82" s="110"/>
      <c r="C82" s="110"/>
      <c r="D82" s="111"/>
      <c r="E82" s="112"/>
      <c r="F82" s="115"/>
      <c r="G82" s="113"/>
      <c r="H82" s="114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="66" customFormat="1" ht="21.95" customHeight="1" spans="1:21">
      <c r="A83" s="109"/>
      <c r="B83" s="110"/>
      <c r="C83" s="110"/>
      <c r="D83" s="111"/>
      <c r="E83" s="112"/>
      <c r="F83" s="115"/>
      <c r="G83" s="113"/>
      <c r="H83" s="114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="66" customFormat="1" ht="21.95" customHeight="1" spans="1:21">
      <c r="A84" s="109"/>
      <c r="B84" s="110"/>
      <c r="C84" s="110"/>
      <c r="D84" s="111"/>
      <c r="E84" s="112"/>
      <c r="F84" s="115"/>
      <c r="G84" s="113"/>
      <c r="H84" s="114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="66" customFormat="1" ht="21.95" customHeight="1" spans="1:21">
      <c r="A85" s="109"/>
      <c r="B85" s="110"/>
      <c r="C85" s="110"/>
      <c r="D85" s="111"/>
      <c r="E85" s="112"/>
      <c r="F85" s="115"/>
      <c r="G85" s="113"/>
      <c r="H85" s="114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="66" customFormat="1" ht="21.95" customHeight="1" spans="1:21">
      <c r="A86" s="109"/>
      <c r="B86" s="110"/>
      <c r="C86" s="110"/>
      <c r="D86" s="111"/>
      <c r="E86" s="112"/>
      <c r="F86" s="115"/>
      <c r="G86" s="113"/>
      <c r="H86" s="114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="66" customFormat="1" ht="21.95" customHeight="1" spans="1:21">
      <c r="A87" s="109"/>
      <c r="B87" s="110"/>
      <c r="C87" s="110"/>
      <c r="D87" s="111"/>
      <c r="E87" s="112"/>
      <c r="F87" s="115"/>
      <c r="G87" s="113"/>
      <c r="H87" s="114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="66" customFormat="1" ht="21.95" customHeight="1" spans="1:21">
      <c r="A88" s="109"/>
      <c r="B88" s="110"/>
      <c r="C88" s="110"/>
      <c r="D88" s="111"/>
      <c r="E88" s="112"/>
      <c r="F88" s="115"/>
      <c r="G88" s="113"/>
      <c r="H88" s="114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="66" customFormat="1" ht="21.95" customHeight="1" spans="1:21">
      <c r="A89" s="109"/>
      <c r="B89" s="110"/>
      <c r="C89" s="110"/>
      <c r="D89" s="111"/>
      <c r="E89" s="112"/>
      <c r="F89" s="115"/>
      <c r="G89" s="113"/>
      <c r="H89" s="114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="66" customFormat="1" ht="21.95" customHeight="1" spans="1:21">
      <c r="A90" s="109"/>
      <c r="B90" s="110"/>
      <c r="C90" s="110"/>
      <c r="D90" s="111"/>
      <c r="E90" s="112"/>
      <c r="F90" s="115"/>
      <c r="G90" s="113"/>
      <c r="H90" s="114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="66" customFormat="1" ht="21.95" customHeight="1" spans="1:21">
      <c r="A91" s="109"/>
      <c r="B91" s="110"/>
      <c r="C91" s="110"/>
      <c r="D91" s="111"/>
      <c r="E91" s="112"/>
      <c r="F91" s="115"/>
      <c r="G91" s="113"/>
      <c r="H91" s="11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="66" customFormat="1" ht="21.95" customHeight="1" spans="1:21">
      <c r="A92" s="109"/>
      <c r="B92" s="110"/>
      <c r="C92" s="110"/>
      <c r="D92" s="111"/>
      <c r="E92" s="112"/>
      <c r="F92" s="115"/>
      <c r="G92" s="113"/>
      <c r="H92" s="114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="66" customFormat="1" ht="21.95" customHeight="1" spans="1:21">
      <c r="A93" s="109"/>
      <c r="B93" s="110"/>
      <c r="C93" s="110"/>
      <c r="D93" s="111"/>
      <c r="E93" s="112"/>
      <c r="F93" s="115"/>
      <c r="G93" s="113"/>
      <c r="H93" s="114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="66" customFormat="1" ht="21.95" customHeight="1" spans="1:21">
      <c r="A94" s="109"/>
      <c r="B94" s="110"/>
      <c r="C94" s="110"/>
      <c r="D94" s="111"/>
      <c r="E94" s="112"/>
      <c r="F94" s="115"/>
      <c r="G94" s="113"/>
      <c r="H94" s="114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="66" customFormat="1" ht="21.95" customHeight="1" spans="1:21">
      <c r="A95" s="109"/>
      <c r="B95" s="110"/>
      <c r="C95" s="110"/>
      <c r="D95" s="111"/>
      <c r="E95" s="112"/>
      <c r="F95" s="115"/>
      <c r="G95" s="113"/>
      <c r="H95" s="114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="66" customFormat="1" ht="21.95" customHeight="1" spans="1:21">
      <c r="A96" s="109"/>
      <c r="B96" s="110"/>
      <c r="C96" s="110"/>
      <c r="D96" s="111"/>
      <c r="E96" s="112"/>
      <c r="F96" s="115"/>
      <c r="G96" s="113"/>
      <c r="H96" s="114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="66" customFormat="1" ht="21.95" customHeight="1" spans="1:21">
      <c r="A97" s="109"/>
      <c r="B97" s="110"/>
      <c r="C97" s="110"/>
      <c r="D97" s="111"/>
      <c r="E97" s="112"/>
      <c r="F97" s="115"/>
      <c r="G97" s="113"/>
      <c r="H97" s="114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="66" customFormat="1" ht="21.95" customHeight="1" spans="1:21">
      <c r="A98" s="109"/>
      <c r="B98" s="110"/>
      <c r="C98" s="110"/>
      <c r="D98" s="111"/>
      <c r="E98" s="112"/>
      <c r="F98" s="115"/>
      <c r="G98" s="113"/>
      <c r="H98" s="114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="66" customFormat="1" ht="21.95" customHeight="1" spans="1:21">
      <c r="A99" s="109"/>
      <c r="B99" s="110"/>
      <c r="C99" s="110"/>
      <c r="D99" s="111"/>
      <c r="E99" s="112"/>
      <c r="F99" s="115"/>
      <c r="G99" s="113"/>
      <c r="H99" s="114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="66" customFormat="1" ht="21.95" customHeight="1" spans="1:21">
      <c r="A100" s="109"/>
      <c r="B100" s="110"/>
      <c r="C100" s="110"/>
      <c r="D100" s="111"/>
      <c r="E100" s="112"/>
      <c r="F100" s="115"/>
      <c r="G100" s="113"/>
      <c r="H100" s="114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="66" customFormat="1" ht="21.95" customHeight="1" spans="1:21">
      <c r="A101" s="67"/>
      <c r="D101" s="68"/>
      <c r="E101" s="69"/>
      <c r="F101" s="70"/>
      <c r="G101" s="71"/>
      <c r="H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="66" customFormat="1" ht="21.95" customHeight="1" spans="1:21">
      <c r="A102" s="67"/>
      <c r="D102" s="68"/>
      <c r="E102" s="69"/>
      <c r="F102" s="70"/>
      <c r="G102" s="71"/>
      <c r="H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="66" customFormat="1" ht="21.95" customHeight="1" spans="1:21">
      <c r="A103" s="67"/>
      <c r="D103" s="68"/>
      <c r="E103" s="69"/>
      <c r="F103" s="70"/>
      <c r="G103" s="71"/>
      <c r="H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="66" customFormat="1" ht="21.95" customHeight="1" spans="1:21">
      <c r="A104" s="67"/>
      <c r="D104" s="68"/>
      <c r="E104" s="69"/>
      <c r="F104" s="70"/>
      <c r="G104" s="71"/>
      <c r="H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="66" customFormat="1" ht="21.95" customHeight="1" spans="1:21">
      <c r="A105" s="67"/>
      <c r="D105" s="68"/>
      <c r="E105" s="69"/>
      <c r="F105" s="70"/>
      <c r="G105" s="71"/>
      <c r="H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="66" customFormat="1" ht="21.95" customHeight="1" spans="1:21">
      <c r="A106" s="67"/>
      <c r="D106" s="68"/>
      <c r="E106" s="69"/>
      <c r="F106" s="70"/>
      <c r="G106" s="71"/>
      <c r="H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="66" customFormat="1" ht="21.95" customHeight="1" spans="1:21">
      <c r="A107" s="67"/>
      <c r="D107" s="68"/>
      <c r="E107" s="69"/>
      <c r="F107" s="70"/>
      <c r="G107" s="71"/>
      <c r="H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="66" customFormat="1" ht="21.95" customHeight="1" spans="1:21">
      <c r="A108" s="67"/>
      <c r="D108" s="68"/>
      <c r="E108" s="69"/>
      <c r="F108" s="70"/>
      <c r="G108" s="71"/>
      <c r="H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="66" customFormat="1" ht="21.95" customHeight="1" spans="1:21">
      <c r="A109" s="67"/>
      <c r="D109" s="68"/>
      <c r="E109" s="69"/>
      <c r="F109" s="70"/>
      <c r="G109" s="71"/>
      <c r="H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="66" customFormat="1" ht="21.95" customHeight="1" spans="1:21">
      <c r="A110" s="67"/>
      <c r="D110" s="68"/>
      <c r="E110" s="69"/>
      <c r="F110" s="70"/>
      <c r="G110" s="71"/>
      <c r="H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="66" customFormat="1" ht="21.95" customHeight="1" spans="1:21">
      <c r="A111" s="67"/>
      <c r="D111" s="68"/>
      <c r="E111" s="69"/>
      <c r="F111" s="70"/>
      <c r="G111" s="71"/>
      <c r="H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="67" customFormat="1" ht="21.95" customHeight="1" spans="2:21">
      <c r="B112" s="66"/>
      <c r="C112" s="66"/>
      <c r="D112" s="68"/>
      <c r="E112" s="69"/>
      <c r="F112" s="70"/>
      <c r="G112" s="71"/>
      <c r="H112" s="72"/>
      <c r="I112" s="66"/>
      <c r="J112" s="66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="67" customFormat="1" ht="21.95" customHeight="1" spans="2:21">
      <c r="B113" s="66"/>
      <c r="C113" s="66"/>
      <c r="D113" s="68"/>
      <c r="E113" s="69"/>
      <c r="F113" s="70"/>
      <c r="G113" s="71"/>
      <c r="H113" s="72"/>
      <c r="I113" s="66"/>
      <c r="J113" s="66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="67" customFormat="1" ht="21.95" customHeight="1" spans="2:21">
      <c r="B114" s="66"/>
      <c r="C114" s="66"/>
      <c r="D114" s="68"/>
      <c r="E114" s="69"/>
      <c r="F114" s="70"/>
      <c r="G114" s="71"/>
      <c r="H114" s="72"/>
      <c r="I114" s="66"/>
      <c r="J114" s="66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="67" customFormat="1" ht="21.95" customHeight="1" spans="2:21">
      <c r="B115" s="66"/>
      <c r="C115" s="66"/>
      <c r="D115" s="68"/>
      <c r="E115" s="69"/>
      <c r="F115" s="70"/>
      <c r="G115" s="71"/>
      <c r="H115" s="72"/>
      <c r="I115" s="66"/>
      <c r="J115" s="66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="67" customFormat="1" ht="21.95" customHeight="1" spans="2:21">
      <c r="B116" s="66"/>
      <c r="C116" s="66"/>
      <c r="D116" s="68"/>
      <c r="E116" s="69"/>
      <c r="F116" s="70"/>
      <c r="G116" s="71"/>
      <c r="H116" s="72"/>
      <c r="I116" s="66"/>
      <c r="J116" s="66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="67" customFormat="1" ht="21.95" customHeight="1" spans="2:21">
      <c r="B117" s="66"/>
      <c r="C117" s="66"/>
      <c r="D117" s="68"/>
      <c r="E117" s="69"/>
      <c r="F117" s="70"/>
      <c r="G117" s="71"/>
      <c r="H117" s="72"/>
      <c r="I117" s="66"/>
      <c r="J117" s="66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="67" customFormat="1" ht="21.95" customHeight="1" spans="2:21">
      <c r="B118" s="66"/>
      <c r="C118" s="66"/>
      <c r="D118" s="68"/>
      <c r="E118" s="69"/>
      <c r="F118" s="70"/>
      <c r="G118" s="71"/>
      <c r="H118" s="72"/>
      <c r="I118" s="66"/>
      <c r="J118" s="66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="67" customFormat="1" ht="21.95" customHeight="1" spans="2:21">
      <c r="B119" s="66"/>
      <c r="C119" s="66"/>
      <c r="D119" s="68"/>
      <c r="E119" s="69"/>
      <c r="F119" s="70"/>
      <c r="G119" s="71"/>
      <c r="H119" s="72"/>
      <c r="I119" s="66"/>
      <c r="J119" s="66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="67" customFormat="1" ht="21.95" customHeight="1" spans="2:21">
      <c r="B120" s="66"/>
      <c r="C120" s="66"/>
      <c r="D120" s="68"/>
      <c r="E120" s="69"/>
      <c r="F120" s="70"/>
      <c r="G120" s="71"/>
      <c r="H120" s="72"/>
      <c r="I120" s="66"/>
      <c r="J120" s="66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="67" customFormat="1" ht="21.95" customHeight="1" spans="2:21">
      <c r="B121" s="66"/>
      <c r="C121" s="66"/>
      <c r="D121" s="68"/>
      <c r="E121" s="69"/>
      <c r="F121" s="70"/>
      <c r="G121" s="71"/>
      <c r="H121" s="72"/>
      <c r="I121" s="66"/>
      <c r="J121" s="66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="67" customFormat="1" ht="21.95" customHeight="1" spans="2:21">
      <c r="B122" s="66"/>
      <c r="C122" s="66"/>
      <c r="D122" s="68"/>
      <c r="E122" s="69"/>
      <c r="F122" s="70"/>
      <c r="G122" s="71"/>
      <c r="H122" s="72"/>
      <c r="I122" s="66"/>
      <c r="J122" s="66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="67" customFormat="1" ht="21.95" customHeight="1" spans="2:21">
      <c r="B123" s="66"/>
      <c r="C123" s="66"/>
      <c r="D123" s="68"/>
      <c r="E123" s="69"/>
      <c r="F123" s="70"/>
      <c r="G123" s="71"/>
      <c r="H123" s="72"/>
      <c r="I123" s="66"/>
      <c r="J123" s="66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="67" customFormat="1" ht="21.95" customHeight="1" spans="2:21">
      <c r="B124" s="66"/>
      <c r="C124" s="66"/>
      <c r="D124" s="68"/>
      <c r="E124" s="69"/>
      <c r="F124" s="70"/>
      <c r="G124" s="71"/>
      <c r="H124" s="72"/>
      <c r="I124" s="66"/>
      <c r="J124" s="66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="67" customFormat="1" ht="21.95" customHeight="1" spans="2:21">
      <c r="B125" s="66"/>
      <c r="C125" s="66"/>
      <c r="D125" s="68"/>
      <c r="E125" s="69"/>
      <c r="F125" s="70"/>
      <c r="G125" s="71"/>
      <c r="H125" s="72"/>
      <c r="I125" s="66"/>
      <c r="J125" s="66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="67" customFormat="1" ht="21.95" customHeight="1" spans="2:21">
      <c r="B126" s="66"/>
      <c r="C126" s="66"/>
      <c r="D126" s="68"/>
      <c r="E126" s="69"/>
      <c r="F126" s="70"/>
      <c r="G126" s="71"/>
      <c r="H126" s="72"/>
      <c r="I126" s="66"/>
      <c r="J126" s="66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="67" customFormat="1" ht="21.95" customHeight="1" spans="2:21">
      <c r="B127" s="66"/>
      <c r="C127" s="66"/>
      <c r="D127" s="68"/>
      <c r="E127" s="69"/>
      <c r="F127" s="70"/>
      <c r="G127" s="71"/>
      <c r="H127" s="72"/>
      <c r="I127" s="66"/>
      <c r="J127" s="66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="67" customFormat="1" ht="21.95" customHeight="1" spans="2:21">
      <c r="B128" s="66"/>
      <c r="C128" s="66"/>
      <c r="D128" s="68"/>
      <c r="E128" s="69"/>
      <c r="F128" s="70"/>
      <c r="G128" s="71"/>
      <c r="H128" s="72"/>
      <c r="I128" s="66"/>
      <c r="J128" s="66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="67" customFormat="1" ht="21.95" customHeight="1" spans="2:21">
      <c r="B129" s="66"/>
      <c r="C129" s="66"/>
      <c r="D129" s="68"/>
      <c r="E129" s="69"/>
      <c r="F129" s="70"/>
      <c r="G129" s="71"/>
      <c r="H129" s="72"/>
      <c r="I129" s="66"/>
      <c r="J129" s="66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="67" customFormat="1" ht="21.95" customHeight="1" spans="2:21">
      <c r="B130" s="66"/>
      <c r="C130" s="66"/>
      <c r="D130" s="68"/>
      <c r="E130" s="69"/>
      <c r="F130" s="70"/>
      <c r="G130" s="71"/>
      <c r="H130" s="72"/>
      <c r="I130" s="66"/>
      <c r="J130" s="66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="67" customFormat="1" ht="21.95" customHeight="1" spans="2:21">
      <c r="B131" s="66"/>
      <c r="C131" s="66"/>
      <c r="D131" s="68"/>
      <c r="E131" s="69"/>
      <c r="F131" s="70"/>
      <c r="G131" s="71"/>
      <c r="H131" s="72"/>
      <c r="I131" s="66"/>
      <c r="J131" s="66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="67" customFormat="1" ht="21.95" customHeight="1" spans="2:21">
      <c r="B132" s="66"/>
      <c r="C132" s="66"/>
      <c r="D132" s="68"/>
      <c r="E132" s="69"/>
      <c r="F132" s="70"/>
      <c r="G132" s="71"/>
      <c r="H132" s="72"/>
      <c r="I132" s="66"/>
      <c r="J132" s="66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="67" customFormat="1" ht="21.95" customHeight="1" spans="2:21">
      <c r="B133" s="66"/>
      <c r="C133" s="66"/>
      <c r="D133" s="68"/>
      <c r="E133" s="69"/>
      <c r="F133" s="70"/>
      <c r="G133" s="71"/>
      <c r="H133" s="72"/>
      <c r="I133" s="66"/>
      <c r="J133" s="66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="67" customFormat="1" ht="21.95" customHeight="1" spans="2:21">
      <c r="B134" s="66"/>
      <c r="C134" s="66"/>
      <c r="D134" s="68"/>
      <c r="E134" s="69"/>
      <c r="F134" s="70"/>
      <c r="G134" s="71"/>
      <c r="H134" s="72"/>
      <c r="I134" s="66"/>
      <c r="J134" s="66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="67" customFormat="1" ht="21.95" customHeight="1" spans="2:21">
      <c r="B135" s="66"/>
      <c r="C135" s="66"/>
      <c r="D135" s="68"/>
      <c r="E135" s="69"/>
      <c r="F135" s="70"/>
      <c r="G135" s="71"/>
      <c r="H135" s="72"/>
      <c r="I135" s="66"/>
      <c r="J135" s="66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="67" customFormat="1" ht="21.95" customHeight="1" spans="2:21">
      <c r="B136" s="66"/>
      <c r="C136" s="66"/>
      <c r="D136" s="68"/>
      <c r="E136" s="69"/>
      <c r="F136" s="70"/>
      <c r="G136" s="71"/>
      <c r="H136" s="72"/>
      <c r="I136" s="66"/>
      <c r="J136" s="66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="67" customFormat="1" ht="21.95" customHeight="1" spans="2:21">
      <c r="B137" s="66"/>
      <c r="C137" s="66"/>
      <c r="D137" s="68"/>
      <c r="E137" s="69"/>
      <c r="F137" s="70"/>
      <c r="G137" s="71"/>
      <c r="H137" s="72"/>
      <c r="I137" s="66"/>
      <c r="J137" s="66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="67" customFormat="1" ht="21.95" customHeight="1" spans="2:21">
      <c r="B138" s="66"/>
      <c r="C138" s="66"/>
      <c r="D138" s="68"/>
      <c r="E138" s="69"/>
      <c r="F138" s="70"/>
      <c r="G138" s="71"/>
      <c r="H138" s="72"/>
      <c r="I138" s="66"/>
      <c r="J138" s="66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="67" customFormat="1" ht="21.95" customHeight="1" spans="2:21">
      <c r="B139" s="66"/>
      <c r="C139" s="66"/>
      <c r="D139" s="68"/>
      <c r="E139" s="69"/>
      <c r="F139" s="70"/>
      <c r="G139" s="71"/>
      <c r="H139" s="72"/>
      <c r="I139" s="66"/>
      <c r="J139" s="66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="67" customFormat="1" ht="21.95" customHeight="1" spans="2:21">
      <c r="B140" s="66"/>
      <c r="C140" s="66"/>
      <c r="D140" s="68"/>
      <c r="E140" s="69"/>
      <c r="F140" s="70"/>
      <c r="G140" s="71"/>
      <c r="H140" s="72"/>
      <c r="I140" s="66"/>
      <c r="J140" s="66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</sheetData>
  <mergeCells count="5">
    <mergeCell ref="A1:J1"/>
    <mergeCell ref="C2:G2"/>
    <mergeCell ref="H2:J2"/>
    <mergeCell ref="A2:A3"/>
    <mergeCell ref="B2:B3"/>
  </mergeCells>
  <printOptions horizontalCentered="1"/>
  <pageMargins left="0.589583333333333" right="0.589583333333333" top="0.0395833333333333" bottom="0.789583333333333" header="0.509722222222222" footer="0.509722222222222"/>
  <pageSetup paperSize="9" scale="75" firstPageNumber="4" fitToHeight="0" orientation="portrait" useFirstPageNumber="1" horizontalDpi="600" verticalDpi="600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0"/>
  <sheetViews>
    <sheetView zoomScale="85" zoomScaleNormal="85" topLeftCell="A44" workbookViewId="0">
      <selection activeCell="G55" sqref="G55"/>
    </sheetView>
  </sheetViews>
  <sheetFormatPr defaultColWidth="9" defaultRowHeight="21" customHeight="1"/>
  <cols>
    <col min="1" max="1" width="6.25" style="67" customWidth="1"/>
    <col min="2" max="2" width="30.75" style="66" customWidth="1"/>
    <col min="3" max="3" width="10.125" style="66" customWidth="1"/>
    <col min="4" max="4" width="11.25" style="68" customWidth="1"/>
    <col min="5" max="5" width="10.25" style="69" customWidth="1"/>
    <col min="6" max="6" width="8.625" style="70" customWidth="1"/>
    <col min="7" max="7" width="12.375" style="71" customWidth="1"/>
    <col min="8" max="8" width="5.625" style="72" customWidth="1"/>
    <col min="9" max="9" width="10.625" style="66" customWidth="1"/>
    <col min="10" max="10" width="11.125" style="66" customWidth="1"/>
    <col min="11" max="11" width="10.375" style="72"/>
    <col min="12" max="12" width="49.25" style="72" customWidth="1"/>
    <col min="13" max="13" width="9" style="72"/>
    <col min="14" max="14" width="10.375" style="72"/>
    <col min="15" max="15" width="15.125" style="72" customWidth="1"/>
    <col min="16" max="16384" width="9" style="72"/>
  </cols>
  <sheetData>
    <row r="1" ht="60" customHeight="1" spans="1:1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ht="30" customHeight="1" spans="1:10">
      <c r="A2" s="74" t="s">
        <v>1</v>
      </c>
      <c r="B2" s="75" t="s">
        <v>2</v>
      </c>
      <c r="C2" s="76" t="s">
        <v>3</v>
      </c>
      <c r="D2" s="77"/>
      <c r="E2" s="77"/>
      <c r="F2" s="77"/>
      <c r="G2" s="77"/>
      <c r="H2" s="78" t="s">
        <v>4</v>
      </c>
      <c r="I2" s="78"/>
      <c r="J2" s="78"/>
    </row>
    <row r="3" s="59" customFormat="1" ht="30" customHeight="1" spans="1:10">
      <c r="A3" s="79"/>
      <c r="B3" s="80"/>
      <c r="C3" s="78" t="s">
        <v>5</v>
      </c>
      <c r="D3" s="78" t="s">
        <v>6</v>
      </c>
      <c r="E3" s="78" t="s">
        <v>7</v>
      </c>
      <c r="F3" s="78" t="s">
        <v>8</v>
      </c>
      <c r="G3" s="76" t="s">
        <v>9</v>
      </c>
      <c r="H3" s="78" t="s">
        <v>10</v>
      </c>
      <c r="I3" s="78" t="s">
        <v>11</v>
      </c>
      <c r="J3" s="78" t="s">
        <v>12</v>
      </c>
    </row>
    <row r="4" s="60" customFormat="1" ht="30" customHeight="1" spans="1:10">
      <c r="A4" s="81" t="s">
        <v>13</v>
      </c>
      <c r="B4" s="82" t="s">
        <v>14</v>
      </c>
      <c r="C4" s="83">
        <f>C5+C18+C25+C39+C46+C34</f>
        <v>273.91515</v>
      </c>
      <c r="D4" s="83">
        <f>D5+D18+D25+D39+D46+D34</f>
        <v>0</v>
      </c>
      <c r="E4" s="83">
        <f>E5+E18+E25+E39+E46+E34</f>
        <v>1.66</v>
      </c>
      <c r="F4" s="83"/>
      <c r="G4" s="83">
        <f>C4+D4+E4</f>
        <v>275.57515</v>
      </c>
      <c r="H4" s="84" t="s">
        <v>15</v>
      </c>
      <c r="I4" s="84"/>
      <c r="J4" s="84"/>
    </row>
    <row r="5" s="60" customFormat="1" ht="30" customHeight="1" spans="1:10">
      <c r="A5" s="81">
        <v>1</v>
      </c>
      <c r="B5" s="85" t="s">
        <v>16</v>
      </c>
      <c r="C5" s="86">
        <f>C17</f>
        <v>154.024</v>
      </c>
      <c r="D5" s="83"/>
      <c r="E5" s="87"/>
      <c r="F5" s="83"/>
      <c r="G5" s="88">
        <f>G17</f>
        <v>154.024</v>
      </c>
      <c r="H5" s="84" t="s">
        <v>15</v>
      </c>
      <c r="I5" s="84"/>
      <c r="J5" s="84"/>
    </row>
    <row r="6" s="60" customFormat="1" ht="30" customHeight="1" spans="1:10">
      <c r="A6" s="89">
        <v>1.1</v>
      </c>
      <c r="B6" s="90" t="s">
        <v>17</v>
      </c>
      <c r="C6" s="91">
        <f t="shared" ref="C6:C16" si="0">G6</f>
        <v>4.99</v>
      </c>
      <c r="D6" s="83"/>
      <c r="E6" s="87"/>
      <c r="F6" s="83"/>
      <c r="G6" s="92">
        <v>4.99</v>
      </c>
      <c r="H6" s="93" t="s">
        <v>18</v>
      </c>
      <c r="I6" s="93">
        <v>1438.3</v>
      </c>
      <c r="J6" s="116">
        <f>G6/I6*10000</f>
        <v>34.6937356601544</v>
      </c>
    </row>
    <row r="7" s="61" customFormat="1" ht="30" customHeight="1" spans="1:10">
      <c r="A7" s="89">
        <v>1.2</v>
      </c>
      <c r="B7" s="90" t="s">
        <v>19</v>
      </c>
      <c r="C7" s="91">
        <f t="shared" si="0"/>
        <v>15.44</v>
      </c>
      <c r="D7" s="83"/>
      <c r="E7" s="87"/>
      <c r="F7" s="83"/>
      <c r="G7" s="92">
        <v>15.44</v>
      </c>
      <c r="H7" s="93" t="s">
        <v>18</v>
      </c>
      <c r="I7" s="93">
        <f>74.1+780+1000</f>
        <v>1854.1</v>
      </c>
      <c r="J7" s="116">
        <f>G7/I7*10000</f>
        <v>83.2749042662208</v>
      </c>
    </row>
    <row r="8" s="61" customFormat="1" ht="30" customHeight="1" spans="1:10">
      <c r="A8" s="89">
        <v>1.3</v>
      </c>
      <c r="B8" s="96" t="s">
        <v>20</v>
      </c>
      <c r="C8" s="91">
        <f t="shared" si="0"/>
        <v>74.37</v>
      </c>
      <c r="D8" s="94"/>
      <c r="E8" s="95"/>
      <c r="F8" s="94"/>
      <c r="G8" s="92">
        <v>74.37</v>
      </c>
      <c r="H8" s="93" t="s">
        <v>21</v>
      </c>
      <c r="I8" s="93">
        <v>1776</v>
      </c>
      <c r="J8" s="116">
        <f>G8/I8*10000</f>
        <v>418.75</v>
      </c>
    </row>
    <row r="9" s="61" customFormat="1" ht="30" customHeight="1" spans="1:10">
      <c r="A9" s="89">
        <v>1.4</v>
      </c>
      <c r="B9" s="96" t="s">
        <v>22</v>
      </c>
      <c r="C9" s="91">
        <f t="shared" si="0"/>
        <v>8.34</v>
      </c>
      <c r="D9" s="94"/>
      <c r="E9" s="95"/>
      <c r="F9" s="94"/>
      <c r="G9" s="92">
        <v>8.34</v>
      </c>
      <c r="H9" s="93" t="s">
        <v>23</v>
      </c>
      <c r="I9" s="93">
        <v>593</v>
      </c>
      <c r="J9" s="116">
        <f>G9/I9*10000</f>
        <v>140.640809443508</v>
      </c>
    </row>
    <row r="10" s="61" customFormat="1" ht="30" customHeight="1" spans="1:10">
      <c r="A10" s="89">
        <v>1.5</v>
      </c>
      <c r="B10" s="96" t="s">
        <v>24</v>
      </c>
      <c r="C10" s="91">
        <f t="shared" si="0"/>
        <v>30.72</v>
      </c>
      <c r="D10" s="94"/>
      <c r="E10" s="95"/>
      <c r="F10" s="94"/>
      <c r="G10" s="92">
        <v>30.72</v>
      </c>
      <c r="H10" s="93" t="s">
        <v>25</v>
      </c>
      <c r="I10" s="93">
        <v>1255</v>
      </c>
      <c r="J10" s="116">
        <f>G10/I10*10000</f>
        <v>244.780876494024</v>
      </c>
    </row>
    <row r="11" s="61" customFormat="1" ht="30" customHeight="1" spans="1:10">
      <c r="A11" s="89">
        <v>1.6</v>
      </c>
      <c r="B11" s="90" t="s">
        <v>26</v>
      </c>
      <c r="C11" s="91">
        <f t="shared" si="0"/>
        <v>2.504</v>
      </c>
      <c r="D11" s="94"/>
      <c r="E11" s="95"/>
      <c r="F11" s="94"/>
      <c r="G11" s="92">
        <f t="shared" ref="G11:G16" si="1">I11*J11/10000</f>
        <v>2.504</v>
      </c>
      <c r="H11" s="93" t="s">
        <v>21</v>
      </c>
      <c r="I11" s="93">
        <v>313</v>
      </c>
      <c r="J11" s="93">
        <v>80</v>
      </c>
    </row>
    <row r="12" s="61" customFormat="1" ht="30" customHeight="1" spans="1:10">
      <c r="A12" s="89">
        <v>1.7</v>
      </c>
      <c r="B12" s="96" t="s">
        <v>27</v>
      </c>
      <c r="C12" s="91">
        <f t="shared" si="0"/>
        <v>4.88</v>
      </c>
      <c r="D12" s="94"/>
      <c r="E12" s="95"/>
      <c r="F12" s="94"/>
      <c r="G12" s="92">
        <f t="shared" si="1"/>
        <v>4.88</v>
      </c>
      <c r="H12" s="93" t="s">
        <v>23</v>
      </c>
      <c r="I12" s="93">
        <v>244</v>
      </c>
      <c r="J12" s="116">
        <v>200</v>
      </c>
    </row>
    <row r="13" s="61" customFormat="1" ht="30" customHeight="1" spans="1:10">
      <c r="A13" s="89">
        <v>1.8</v>
      </c>
      <c r="B13" s="96" t="s">
        <v>28</v>
      </c>
      <c r="C13" s="91">
        <f t="shared" si="0"/>
        <v>0.29</v>
      </c>
      <c r="D13" s="94"/>
      <c r="E13" s="95"/>
      <c r="F13" s="94"/>
      <c r="G13" s="92">
        <v>0.29</v>
      </c>
      <c r="H13" s="93" t="s">
        <v>23</v>
      </c>
      <c r="I13" s="93">
        <v>593</v>
      </c>
      <c r="J13" s="116">
        <f>G13/I13*10000</f>
        <v>4.89038785834739</v>
      </c>
    </row>
    <row r="14" s="61" customFormat="1" ht="30" customHeight="1" spans="1:10">
      <c r="A14" s="89">
        <v>1.9</v>
      </c>
      <c r="B14" s="96" t="s">
        <v>29</v>
      </c>
      <c r="C14" s="91">
        <f t="shared" si="0"/>
        <v>9.56</v>
      </c>
      <c r="D14" s="94"/>
      <c r="E14" s="95"/>
      <c r="F14" s="94"/>
      <c r="G14" s="92">
        <v>9.56</v>
      </c>
      <c r="H14" s="93" t="s">
        <v>25</v>
      </c>
      <c r="I14" s="93">
        <f>1211+381.5</f>
        <v>1592.5</v>
      </c>
      <c r="J14" s="116">
        <f>G14/I14*10000</f>
        <v>60.0313971742543</v>
      </c>
    </row>
    <row r="15" s="61" customFormat="1" ht="30" customHeight="1" spans="1:10">
      <c r="A15" s="93">
        <v>1.1</v>
      </c>
      <c r="B15" s="96" t="s">
        <v>30</v>
      </c>
      <c r="C15" s="91">
        <f t="shared" si="0"/>
        <v>0.53</v>
      </c>
      <c r="D15" s="94"/>
      <c r="E15" s="95"/>
      <c r="F15" s="94"/>
      <c r="G15" s="92">
        <v>0.53</v>
      </c>
      <c r="H15" s="93" t="s">
        <v>25</v>
      </c>
      <c r="I15" s="93">
        <v>178</v>
      </c>
      <c r="J15" s="116">
        <f>G15/I15*10000</f>
        <v>29.7752808988764</v>
      </c>
    </row>
    <row r="16" s="61" customFormat="1" ht="30" customHeight="1" spans="1:10">
      <c r="A16" s="93">
        <v>1.11</v>
      </c>
      <c r="B16" s="96" t="s">
        <v>31</v>
      </c>
      <c r="C16" s="91">
        <f t="shared" si="0"/>
        <v>2.4</v>
      </c>
      <c r="D16" s="94"/>
      <c r="E16" s="95"/>
      <c r="F16" s="94"/>
      <c r="G16" s="92">
        <f t="shared" si="1"/>
        <v>2.4</v>
      </c>
      <c r="H16" s="93" t="s">
        <v>32</v>
      </c>
      <c r="I16" s="93">
        <v>6</v>
      </c>
      <c r="J16" s="116">
        <v>4000</v>
      </c>
    </row>
    <row r="17" s="61" customFormat="1" ht="30" customHeight="1" spans="1:10">
      <c r="A17" s="93"/>
      <c r="B17" s="96" t="s">
        <v>33</v>
      </c>
      <c r="C17" s="91">
        <f>SUM(C6:C16)</f>
        <v>154.024</v>
      </c>
      <c r="D17" s="94"/>
      <c r="E17" s="95"/>
      <c r="F17" s="94"/>
      <c r="G17" s="92">
        <f>SUM(G6:G16)</f>
        <v>154.024</v>
      </c>
      <c r="H17" s="93" t="s">
        <v>15</v>
      </c>
      <c r="I17" s="93"/>
      <c r="J17" s="116"/>
    </row>
    <row r="18" s="60" customFormat="1" ht="30" customHeight="1" spans="1:10">
      <c r="A18" s="81">
        <v>2</v>
      </c>
      <c r="B18" s="85" t="s">
        <v>34</v>
      </c>
      <c r="C18" s="86">
        <f>C24</f>
        <v>26.68115</v>
      </c>
      <c r="D18" s="83"/>
      <c r="E18" s="87"/>
      <c r="F18" s="83"/>
      <c r="G18" s="88">
        <f>G24</f>
        <v>26.68115</v>
      </c>
      <c r="H18" s="84"/>
      <c r="I18" s="84"/>
      <c r="J18" s="117"/>
    </row>
    <row r="19" s="61" customFormat="1" ht="30" customHeight="1" spans="1:10">
      <c r="A19" s="89">
        <v>2.1</v>
      </c>
      <c r="B19" s="96" t="s">
        <v>35</v>
      </c>
      <c r="C19" s="91">
        <f>G19</f>
        <v>8.53115</v>
      </c>
      <c r="D19" s="94"/>
      <c r="E19" s="95"/>
      <c r="F19" s="94"/>
      <c r="G19" s="92">
        <f>I19*J19/10000</f>
        <v>8.53115</v>
      </c>
      <c r="H19" s="93" t="s">
        <v>18</v>
      </c>
      <c r="I19" s="93">
        <v>17.59</v>
      </c>
      <c r="J19" s="116">
        <v>4850</v>
      </c>
    </row>
    <row r="20" s="61" customFormat="1" ht="30" customHeight="1" spans="1:10">
      <c r="A20" s="89">
        <v>2.2</v>
      </c>
      <c r="B20" s="96" t="s">
        <v>36</v>
      </c>
      <c r="C20" s="91">
        <f>G20</f>
        <v>4.15</v>
      </c>
      <c r="D20" s="94"/>
      <c r="E20" s="95"/>
      <c r="F20" s="94"/>
      <c r="G20" s="92">
        <f>I20*J20/10000</f>
        <v>4.15</v>
      </c>
      <c r="H20" s="93" t="s">
        <v>18</v>
      </c>
      <c r="I20" s="93">
        <v>10</v>
      </c>
      <c r="J20" s="116">
        <v>4150</v>
      </c>
    </row>
    <row r="21" s="61" customFormat="1" ht="30" customHeight="1" spans="1:10">
      <c r="A21" s="89">
        <v>2.3</v>
      </c>
      <c r="B21" s="96" t="s">
        <v>37</v>
      </c>
      <c r="C21" s="91">
        <f>G21</f>
        <v>4.2</v>
      </c>
      <c r="D21" s="94"/>
      <c r="E21" s="95"/>
      <c r="F21" s="94"/>
      <c r="G21" s="92">
        <f>I21*J21/10000</f>
        <v>4.2</v>
      </c>
      <c r="H21" s="93" t="s">
        <v>18</v>
      </c>
      <c r="I21" s="93">
        <v>10</v>
      </c>
      <c r="J21" s="116">
        <v>4200</v>
      </c>
    </row>
    <row r="22" s="61" customFormat="1" ht="30" customHeight="1" spans="1:10">
      <c r="A22" s="89">
        <v>2.4</v>
      </c>
      <c r="B22" s="96" t="s">
        <v>38</v>
      </c>
      <c r="C22" s="91">
        <f>G22</f>
        <v>8</v>
      </c>
      <c r="D22" s="94"/>
      <c r="E22" s="95"/>
      <c r="F22" s="94"/>
      <c r="G22" s="92">
        <f>I22*J22/10000</f>
        <v>8</v>
      </c>
      <c r="H22" s="93" t="s">
        <v>39</v>
      </c>
      <c r="I22" s="93">
        <v>1</v>
      </c>
      <c r="J22" s="116">
        <v>80000</v>
      </c>
    </row>
    <row r="23" s="61" customFormat="1" ht="30" customHeight="1" spans="1:10">
      <c r="A23" s="89">
        <v>2.5</v>
      </c>
      <c r="B23" s="96" t="s">
        <v>40</v>
      </c>
      <c r="C23" s="91">
        <f>G23</f>
        <v>1.8</v>
      </c>
      <c r="D23" s="94"/>
      <c r="E23" s="95"/>
      <c r="F23" s="94"/>
      <c r="G23" s="92">
        <f>I23*J23/10000</f>
        <v>1.8</v>
      </c>
      <c r="H23" s="93" t="s">
        <v>39</v>
      </c>
      <c r="I23" s="93">
        <v>1</v>
      </c>
      <c r="J23" s="116">
        <v>18000</v>
      </c>
    </row>
    <row r="24" s="61" customFormat="1" ht="30" customHeight="1" spans="1:10">
      <c r="A24" s="93"/>
      <c r="B24" s="96" t="s">
        <v>33</v>
      </c>
      <c r="C24" s="91">
        <f>SUM(C19:C23)</f>
        <v>26.68115</v>
      </c>
      <c r="D24" s="94"/>
      <c r="E24" s="95"/>
      <c r="F24" s="94"/>
      <c r="G24" s="92">
        <f>SUM(G19:G23)</f>
        <v>26.68115</v>
      </c>
      <c r="H24" s="93" t="s">
        <v>15</v>
      </c>
      <c r="I24" s="93"/>
      <c r="J24" s="116"/>
    </row>
    <row r="25" s="61" customFormat="1" ht="30" customHeight="1" spans="1:10">
      <c r="A25" s="81">
        <v>3</v>
      </c>
      <c r="B25" s="97" t="s">
        <v>88</v>
      </c>
      <c r="C25" s="86">
        <f>C33</f>
        <v>43.59</v>
      </c>
      <c r="D25" s="86"/>
      <c r="E25" s="86"/>
      <c r="F25" s="83"/>
      <c r="G25" s="88">
        <f>C25</f>
        <v>43.59</v>
      </c>
      <c r="H25" s="84" t="s">
        <v>15</v>
      </c>
      <c r="I25" s="84"/>
      <c r="J25" s="116"/>
    </row>
    <row r="26" s="61" customFormat="1" ht="30" customHeight="1" spans="1:10">
      <c r="A26" s="89">
        <v>3.1</v>
      </c>
      <c r="B26" s="96" t="s">
        <v>42</v>
      </c>
      <c r="C26" s="91">
        <f t="shared" ref="C26:C32" si="2">G26</f>
        <v>0.98</v>
      </c>
      <c r="D26" s="94"/>
      <c r="E26" s="95"/>
      <c r="F26" s="94"/>
      <c r="G26" s="92">
        <v>0.98</v>
      </c>
      <c r="H26" s="93" t="s">
        <v>23</v>
      </c>
      <c r="I26" s="93">
        <v>15</v>
      </c>
      <c r="J26" s="116">
        <f t="shared" ref="J26:J32" si="3">G26/I26*10000</f>
        <v>653.333333333333</v>
      </c>
    </row>
    <row r="27" s="61" customFormat="1" ht="30" customHeight="1" spans="1:10">
      <c r="A27" s="89">
        <v>3.2</v>
      </c>
      <c r="B27" s="96" t="s">
        <v>44</v>
      </c>
      <c r="C27" s="91">
        <f t="shared" si="2"/>
        <v>8.11</v>
      </c>
      <c r="D27" s="94"/>
      <c r="E27" s="95"/>
      <c r="F27" s="94"/>
      <c r="G27" s="92">
        <v>8.11</v>
      </c>
      <c r="H27" s="93" t="s">
        <v>23</v>
      </c>
      <c r="I27" s="93">
        <v>75</v>
      </c>
      <c r="J27" s="116">
        <f t="shared" si="3"/>
        <v>1081.33333333333</v>
      </c>
    </row>
    <row r="28" s="61" customFormat="1" ht="30" customHeight="1" spans="1:10">
      <c r="A28" s="89">
        <v>3.3</v>
      </c>
      <c r="B28" s="96" t="s">
        <v>45</v>
      </c>
      <c r="C28" s="91">
        <f t="shared" si="2"/>
        <v>27.4</v>
      </c>
      <c r="D28" s="94"/>
      <c r="E28" s="95"/>
      <c r="F28" s="94"/>
      <c r="G28" s="92">
        <v>27.4</v>
      </c>
      <c r="H28" s="93" t="s">
        <v>23</v>
      </c>
      <c r="I28" s="93">
        <v>320</v>
      </c>
      <c r="J28" s="116">
        <f t="shared" si="3"/>
        <v>856.25</v>
      </c>
    </row>
    <row r="29" s="61" customFormat="1" ht="30" customHeight="1" spans="1:10">
      <c r="A29" s="89">
        <v>3.4</v>
      </c>
      <c r="B29" s="90" t="s">
        <v>89</v>
      </c>
      <c r="C29" s="91">
        <f t="shared" si="2"/>
        <v>3.55</v>
      </c>
      <c r="D29" s="91"/>
      <c r="E29" s="91"/>
      <c r="F29" s="94"/>
      <c r="G29" s="92">
        <v>3.55</v>
      </c>
      <c r="H29" s="93" t="s">
        <v>39</v>
      </c>
      <c r="I29" s="93">
        <v>8</v>
      </c>
      <c r="J29" s="93">
        <f t="shared" si="3"/>
        <v>4437.5</v>
      </c>
    </row>
    <row r="30" s="61" customFormat="1" ht="30" customHeight="1" spans="1:10">
      <c r="A30" s="89">
        <v>3.5</v>
      </c>
      <c r="B30" s="90" t="s">
        <v>90</v>
      </c>
      <c r="C30" s="91">
        <f t="shared" si="2"/>
        <v>0.93</v>
      </c>
      <c r="D30" s="91"/>
      <c r="E30" s="91"/>
      <c r="F30" s="94"/>
      <c r="G30" s="92">
        <v>0.93</v>
      </c>
      <c r="H30" s="93" t="s">
        <v>39</v>
      </c>
      <c r="I30" s="93">
        <v>2</v>
      </c>
      <c r="J30" s="93">
        <f t="shared" si="3"/>
        <v>4650</v>
      </c>
    </row>
    <row r="31" s="61" customFormat="1" ht="30" customHeight="1" spans="1:10">
      <c r="A31" s="89">
        <v>3.6</v>
      </c>
      <c r="B31" s="90" t="s">
        <v>48</v>
      </c>
      <c r="C31" s="91">
        <f t="shared" si="2"/>
        <v>1.74</v>
      </c>
      <c r="D31" s="91"/>
      <c r="E31" s="91"/>
      <c r="F31" s="94"/>
      <c r="G31" s="92">
        <v>1.74</v>
      </c>
      <c r="H31" s="93" t="s">
        <v>39</v>
      </c>
      <c r="I31" s="93">
        <v>2</v>
      </c>
      <c r="J31" s="93">
        <f t="shared" si="3"/>
        <v>8700</v>
      </c>
    </row>
    <row r="32" s="61" customFormat="1" ht="30" customHeight="1" spans="1:10">
      <c r="A32" s="89">
        <v>3.7</v>
      </c>
      <c r="B32" s="90" t="s">
        <v>49</v>
      </c>
      <c r="C32" s="91">
        <f t="shared" si="2"/>
        <v>0.88</v>
      </c>
      <c r="D32" s="94"/>
      <c r="E32" s="95"/>
      <c r="F32" s="94"/>
      <c r="G32" s="92">
        <v>0.88</v>
      </c>
      <c r="H32" s="93" t="s">
        <v>50</v>
      </c>
      <c r="I32" s="93">
        <v>6</v>
      </c>
      <c r="J32" s="93">
        <f t="shared" si="3"/>
        <v>1466.66666666667</v>
      </c>
    </row>
    <row r="33" s="61" customFormat="1" ht="30" customHeight="1" spans="1:10">
      <c r="A33" s="93"/>
      <c r="B33" s="96" t="s">
        <v>33</v>
      </c>
      <c r="C33" s="91">
        <f>SUM(C26:C32)</f>
        <v>43.59</v>
      </c>
      <c r="D33" s="94"/>
      <c r="E33" s="95"/>
      <c r="F33" s="94"/>
      <c r="G33" s="92">
        <f>SUM(G26:G32)</f>
        <v>43.59</v>
      </c>
      <c r="H33" s="93" t="s">
        <v>15</v>
      </c>
      <c r="I33" s="93"/>
      <c r="J33" s="116"/>
    </row>
    <row r="34" s="61" customFormat="1" ht="30" customHeight="1" spans="1:10">
      <c r="A34" s="81">
        <v>4</v>
      </c>
      <c r="B34" s="97" t="s">
        <v>91</v>
      </c>
      <c r="C34" s="86">
        <f>C38</f>
        <v>21.84</v>
      </c>
      <c r="D34" s="86"/>
      <c r="E34" s="86"/>
      <c r="F34" s="83"/>
      <c r="G34" s="88">
        <f>C34</f>
        <v>21.84</v>
      </c>
      <c r="H34" s="84" t="s">
        <v>15</v>
      </c>
      <c r="I34" s="84"/>
      <c r="J34" s="116"/>
    </row>
    <row r="35" s="61" customFormat="1" ht="30" customHeight="1" spans="1:11">
      <c r="A35" s="89">
        <v>4.1</v>
      </c>
      <c r="B35" s="96" t="s">
        <v>45</v>
      </c>
      <c r="C35" s="91">
        <f>G35</f>
        <v>4.22</v>
      </c>
      <c r="D35" s="94"/>
      <c r="E35" s="95"/>
      <c r="F35" s="94"/>
      <c r="G35" s="92">
        <v>4.22</v>
      </c>
      <c r="H35" s="93" t="s">
        <v>23</v>
      </c>
      <c r="I35" s="93">
        <v>35</v>
      </c>
      <c r="J35" s="116">
        <f>G35/I35*10000</f>
        <v>1205.71428571429</v>
      </c>
      <c r="K35" s="62"/>
    </row>
    <row r="36" s="61" customFormat="1" ht="30" customHeight="1" spans="1:11">
      <c r="A36" s="89">
        <v>4.2</v>
      </c>
      <c r="B36" s="96" t="s">
        <v>86</v>
      </c>
      <c r="C36" s="91">
        <f>G36</f>
        <v>15.92</v>
      </c>
      <c r="D36" s="94"/>
      <c r="E36" s="95"/>
      <c r="F36" s="94"/>
      <c r="G36" s="92">
        <v>15.92</v>
      </c>
      <c r="H36" s="93" t="s">
        <v>23</v>
      </c>
      <c r="I36" s="93">
        <v>90</v>
      </c>
      <c r="J36" s="116">
        <f>G36/I36*10000</f>
        <v>1768.88888888889</v>
      </c>
      <c r="K36" s="62"/>
    </row>
    <row r="37" s="61" customFormat="1" ht="30" customHeight="1" spans="1:10">
      <c r="A37" s="89">
        <v>4.3</v>
      </c>
      <c r="B37" s="90" t="s">
        <v>92</v>
      </c>
      <c r="C37" s="91">
        <f>G37</f>
        <v>1.7</v>
      </c>
      <c r="D37" s="91"/>
      <c r="E37" s="91"/>
      <c r="F37" s="94"/>
      <c r="G37" s="92">
        <v>1.7</v>
      </c>
      <c r="H37" s="93" t="s">
        <v>39</v>
      </c>
      <c r="I37" s="93">
        <v>4</v>
      </c>
      <c r="J37" s="93">
        <f>G37/I37*10000</f>
        <v>4250</v>
      </c>
    </row>
    <row r="38" s="61" customFormat="1" ht="30" customHeight="1" spans="1:10">
      <c r="A38" s="93"/>
      <c r="B38" s="96" t="s">
        <v>33</v>
      </c>
      <c r="C38" s="91">
        <f>SUM(C35:C37)</f>
        <v>21.84</v>
      </c>
      <c r="D38" s="91"/>
      <c r="E38" s="91"/>
      <c r="F38" s="94"/>
      <c r="G38" s="92">
        <f>SUM(G35:G37)</f>
        <v>21.84</v>
      </c>
      <c r="H38" s="93" t="s">
        <v>15</v>
      </c>
      <c r="I38" s="93"/>
      <c r="J38" s="116"/>
    </row>
    <row r="39" s="61" customFormat="1" ht="30" customHeight="1" spans="1:10">
      <c r="A39" s="81">
        <v>5</v>
      </c>
      <c r="B39" s="97" t="s">
        <v>55</v>
      </c>
      <c r="C39" s="86">
        <f>C45</f>
        <v>11.04</v>
      </c>
      <c r="D39" s="86">
        <f>D45</f>
        <v>0</v>
      </c>
      <c r="E39" s="86">
        <f>E45</f>
        <v>1.66</v>
      </c>
      <c r="F39" s="83"/>
      <c r="G39" s="88">
        <f>C39+D39+E39</f>
        <v>12.7</v>
      </c>
      <c r="H39" s="84" t="s">
        <v>15</v>
      </c>
      <c r="I39" s="84"/>
      <c r="J39" s="116"/>
    </row>
    <row r="40" s="62" customFormat="1" ht="30" customHeight="1" spans="1:10">
      <c r="A40" s="89">
        <v>5.1</v>
      </c>
      <c r="B40" s="96" t="s">
        <v>56</v>
      </c>
      <c r="C40" s="91">
        <v>0.13</v>
      </c>
      <c r="D40" s="94"/>
      <c r="E40" s="95">
        <v>0.2</v>
      </c>
      <c r="F40" s="94"/>
      <c r="G40" s="92">
        <f>C40+D40+E40</f>
        <v>0.33</v>
      </c>
      <c r="H40" s="93" t="s">
        <v>23</v>
      </c>
      <c r="I40" s="93">
        <v>5</v>
      </c>
      <c r="J40" s="116">
        <f>G40/I40*10000</f>
        <v>660</v>
      </c>
    </row>
    <row r="41" s="61" customFormat="1" ht="30" customHeight="1" spans="1:10">
      <c r="A41" s="89">
        <v>5.2</v>
      </c>
      <c r="B41" s="96" t="s">
        <v>57</v>
      </c>
      <c r="C41" s="91">
        <v>6.57</v>
      </c>
      <c r="D41" s="94"/>
      <c r="E41" s="95">
        <v>1.46</v>
      </c>
      <c r="F41" s="94"/>
      <c r="G41" s="92">
        <f>C41+D41+E41</f>
        <v>8.03</v>
      </c>
      <c r="H41" s="93" t="s">
        <v>23</v>
      </c>
      <c r="I41" s="93">
        <v>350</v>
      </c>
      <c r="J41" s="116">
        <f>G41/I41*10000</f>
        <v>229.428571428571</v>
      </c>
    </row>
    <row r="42" s="61" customFormat="1" ht="30" customHeight="1" spans="1:10">
      <c r="A42" s="89">
        <v>5.3</v>
      </c>
      <c r="B42" s="90" t="s">
        <v>87</v>
      </c>
      <c r="C42" s="91">
        <f>G42</f>
        <v>1.6</v>
      </c>
      <c r="D42" s="91"/>
      <c r="E42" s="91"/>
      <c r="F42" s="94"/>
      <c r="G42" s="92">
        <v>1.6</v>
      </c>
      <c r="H42" s="93" t="s">
        <v>39</v>
      </c>
      <c r="I42" s="93">
        <v>3</v>
      </c>
      <c r="J42" s="93">
        <f>G42/I42*10000</f>
        <v>5333.33333333333</v>
      </c>
    </row>
    <row r="43" s="61" customFormat="1" ht="30" customHeight="1" spans="1:10">
      <c r="A43" s="89">
        <v>5.4</v>
      </c>
      <c r="B43" s="90" t="s">
        <v>93</v>
      </c>
      <c r="C43" s="91">
        <f>G43</f>
        <v>0.71</v>
      </c>
      <c r="D43" s="91"/>
      <c r="E43" s="91"/>
      <c r="F43" s="94"/>
      <c r="G43" s="92">
        <v>0.71</v>
      </c>
      <c r="H43" s="93" t="s">
        <v>39</v>
      </c>
      <c r="I43" s="93">
        <v>2</v>
      </c>
      <c r="J43" s="93">
        <f>G43/I43*10000</f>
        <v>3550</v>
      </c>
    </row>
    <row r="44" s="61" customFormat="1" ht="30" customHeight="1" spans="1:10">
      <c r="A44" s="89">
        <v>5.5</v>
      </c>
      <c r="B44" s="90" t="s">
        <v>60</v>
      </c>
      <c r="C44" s="91">
        <f>G44</f>
        <v>2.03</v>
      </c>
      <c r="D44" s="91"/>
      <c r="E44" s="91"/>
      <c r="F44" s="94"/>
      <c r="G44" s="92">
        <v>2.03</v>
      </c>
      <c r="H44" s="93" t="s">
        <v>15</v>
      </c>
      <c r="I44" s="93"/>
      <c r="J44" s="93"/>
    </row>
    <row r="45" s="61" customFormat="1" ht="30" customHeight="1" spans="1:10">
      <c r="A45" s="93"/>
      <c r="B45" s="96" t="s">
        <v>33</v>
      </c>
      <c r="C45" s="91">
        <f>SUM(C40:C44)</f>
        <v>11.04</v>
      </c>
      <c r="D45" s="91">
        <f>SUM(D40:D44)</f>
        <v>0</v>
      </c>
      <c r="E45" s="91">
        <f>SUM(E40:E44)</f>
        <v>1.66</v>
      </c>
      <c r="F45" s="94"/>
      <c r="G45" s="92">
        <f>SUM(G40:G44)</f>
        <v>12.7</v>
      </c>
      <c r="H45" s="93" t="s">
        <v>15</v>
      </c>
      <c r="I45" s="93"/>
      <c r="J45" s="116"/>
    </row>
    <row r="46" s="61" customFormat="1" ht="30" customHeight="1" spans="1:10">
      <c r="A46" s="81">
        <v>6</v>
      </c>
      <c r="B46" s="85" t="s">
        <v>61</v>
      </c>
      <c r="C46" s="86">
        <f>I46*J46/10000</f>
        <v>16.74</v>
      </c>
      <c r="D46" s="86"/>
      <c r="E46" s="86"/>
      <c r="F46" s="83"/>
      <c r="G46" s="88">
        <f>I46*J46/10000</f>
        <v>16.74</v>
      </c>
      <c r="H46" s="84" t="s">
        <v>62</v>
      </c>
      <c r="I46" s="84">
        <v>18</v>
      </c>
      <c r="J46" s="84">
        <v>9300</v>
      </c>
    </row>
    <row r="47" s="60" customFormat="1" ht="30" customHeight="1" spans="1:10">
      <c r="A47" s="81"/>
      <c r="B47" s="85"/>
      <c r="C47" s="86"/>
      <c r="D47" s="86"/>
      <c r="E47" s="86"/>
      <c r="F47" s="83"/>
      <c r="G47" s="88"/>
      <c r="H47" s="84"/>
      <c r="I47" s="84"/>
      <c r="J47" s="117"/>
    </row>
    <row r="48" s="60" customFormat="1" ht="29.1" customHeight="1" spans="1:19">
      <c r="A48" s="98" t="s">
        <v>63</v>
      </c>
      <c r="B48" s="82" t="s">
        <v>64</v>
      </c>
      <c r="C48" s="83">
        <f>C60</f>
        <v>46.3928022666667</v>
      </c>
      <c r="D48" s="83"/>
      <c r="E48" s="83"/>
      <c r="F48" s="83"/>
      <c r="G48" s="88">
        <f>C48</f>
        <v>46.3928022666667</v>
      </c>
      <c r="H48" s="84" t="s">
        <v>15</v>
      </c>
      <c r="I48" s="84"/>
      <c r="J48" s="83"/>
      <c r="M48" s="61"/>
      <c r="N48" s="61"/>
      <c r="O48" s="61"/>
      <c r="P48" s="61"/>
      <c r="Q48" s="61"/>
      <c r="R48" s="61"/>
      <c r="S48" s="61"/>
    </row>
    <row r="49" s="61" customFormat="1" ht="30" customHeight="1" spans="1:13">
      <c r="A49" s="99">
        <v>1</v>
      </c>
      <c r="B49" s="100" t="s">
        <v>65</v>
      </c>
      <c r="C49" s="94">
        <f t="shared" ref="C49:C59" si="4">G49</f>
        <v>4.44685</v>
      </c>
      <c r="D49" s="94"/>
      <c r="E49" s="94"/>
      <c r="F49" s="94"/>
      <c r="G49" s="92">
        <f>I49*0.033*0.5+0.01</f>
        <v>4.44685</v>
      </c>
      <c r="H49" s="93" t="s">
        <v>15</v>
      </c>
      <c r="I49" s="93">
        <v>268.9</v>
      </c>
      <c r="J49" s="118">
        <f>G49/I49</f>
        <v>0.0165371885459279</v>
      </c>
      <c r="L49" s="60"/>
      <c r="M49" s="60"/>
    </row>
    <row r="50" s="60" customFormat="1" ht="30" customHeight="1" spans="1:21">
      <c r="A50" s="99">
        <v>2</v>
      </c>
      <c r="B50" s="100" t="s">
        <v>94</v>
      </c>
      <c r="C50" s="94">
        <f t="shared" si="4"/>
        <v>0.578135</v>
      </c>
      <c r="D50" s="94"/>
      <c r="E50" s="94"/>
      <c r="F50" s="94"/>
      <c r="G50" s="92">
        <f>I50*0.43%*0.5</f>
        <v>0.578135</v>
      </c>
      <c r="H50" s="93" t="s">
        <v>15</v>
      </c>
      <c r="I50" s="93">
        <f>I49</f>
        <v>268.9</v>
      </c>
      <c r="J50" s="118">
        <f>G50/I50</f>
        <v>0.00215</v>
      </c>
      <c r="N50" s="61"/>
      <c r="O50" s="61"/>
      <c r="P50" s="61"/>
      <c r="Q50" s="61"/>
      <c r="R50" s="61"/>
      <c r="S50" s="61"/>
      <c r="T50" s="61"/>
      <c r="U50" s="61"/>
    </row>
    <row r="51" s="60" customFormat="1" ht="30" customHeight="1" spans="1:21">
      <c r="A51" s="99">
        <v>3</v>
      </c>
      <c r="B51" s="100" t="s">
        <v>67</v>
      </c>
      <c r="C51" s="94">
        <f t="shared" si="4"/>
        <v>1</v>
      </c>
      <c r="D51" s="94"/>
      <c r="E51" s="94"/>
      <c r="F51" s="94"/>
      <c r="G51" s="92">
        <v>1</v>
      </c>
      <c r="H51" s="93" t="s">
        <v>15</v>
      </c>
      <c r="I51" s="93">
        <f>I49</f>
        <v>268.9</v>
      </c>
      <c r="J51" s="118">
        <f>G51/I51</f>
        <v>0.00371885459278542</v>
      </c>
      <c r="N51" s="61"/>
      <c r="O51" s="61"/>
      <c r="P51" s="61"/>
      <c r="Q51" s="61"/>
      <c r="R51" s="61"/>
      <c r="S51" s="61"/>
      <c r="T51" s="61"/>
      <c r="U51" s="61"/>
    </row>
    <row r="52" s="60" customFormat="1" ht="30" customHeight="1" spans="1:21">
      <c r="A52" s="99">
        <v>4</v>
      </c>
      <c r="B52" s="100" t="s">
        <v>68</v>
      </c>
      <c r="C52" s="94">
        <f t="shared" si="4"/>
        <v>0.40335</v>
      </c>
      <c r="D52" s="94"/>
      <c r="E52" s="94"/>
      <c r="F52" s="94"/>
      <c r="G52" s="92">
        <f>I52*J52</f>
        <v>0.40335</v>
      </c>
      <c r="H52" s="93" t="s">
        <v>15</v>
      </c>
      <c r="I52" s="93">
        <f>I49</f>
        <v>268.9</v>
      </c>
      <c r="J52" s="118">
        <v>0.0015</v>
      </c>
      <c r="N52" s="61"/>
      <c r="O52" s="61"/>
      <c r="P52" s="61"/>
      <c r="Q52" s="61"/>
      <c r="R52" s="61"/>
      <c r="S52" s="61"/>
      <c r="T52" s="61"/>
      <c r="U52" s="61"/>
    </row>
    <row r="53" s="61" customFormat="1" ht="30" customHeight="1" spans="1:14">
      <c r="A53" s="99">
        <v>5</v>
      </c>
      <c r="B53" s="100" t="s">
        <v>69</v>
      </c>
      <c r="C53" s="94">
        <f t="shared" si="4"/>
        <v>6.96881726666667</v>
      </c>
      <c r="D53" s="94"/>
      <c r="E53" s="94"/>
      <c r="F53" s="94"/>
      <c r="G53" s="92">
        <f>((I53-200)*(20.9-9)/300+9)*0.5+G4*0.0056*0.5/0.7</f>
        <v>6.96881726666667</v>
      </c>
      <c r="H53" s="93" t="s">
        <v>15</v>
      </c>
      <c r="I53" s="93">
        <f>I49</f>
        <v>268.9</v>
      </c>
      <c r="J53" s="118">
        <f>G53/I53</f>
        <v>0.0259160180984257</v>
      </c>
      <c r="L53" s="60"/>
      <c r="M53" s="60"/>
      <c r="N53" s="119"/>
    </row>
    <row r="54" s="61" customFormat="1" ht="30" customHeight="1" spans="1:13">
      <c r="A54" s="99">
        <v>6</v>
      </c>
      <c r="B54" s="100" t="s">
        <v>70</v>
      </c>
      <c r="C54" s="94">
        <f t="shared" si="4"/>
        <v>0.41335</v>
      </c>
      <c r="D54" s="94"/>
      <c r="E54" s="94"/>
      <c r="F54" s="94"/>
      <c r="G54" s="92">
        <f>I54*J54+0.01</f>
        <v>0.41335</v>
      </c>
      <c r="H54" s="93" t="s">
        <v>15</v>
      </c>
      <c r="I54" s="93">
        <v>268.9</v>
      </c>
      <c r="J54" s="118">
        <v>0.0015</v>
      </c>
      <c r="L54" s="60"/>
      <c r="M54" s="60"/>
    </row>
    <row r="55" s="61" customFormat="1" ht="30" customHeight="1" spans="1:14">
      <c r="A55" s="99">
        <v>7</v>
      </c>
      <c r="B55" s="101" t="s">
        <v>71</v>
      </c>
      <c r="C55" s="94">
        <f t="shared" si="4"/>
        <v>2.4</v>
      </c>
      <c r="D55" s="94"/>
      <c r="E55" s="94"/>
      <c r="F55" s="94"/>
      <c r="G55" s="92">
        <v>2.4</v>
      </c>
      <c r="H55" s="93" t="s">
        <v>15</v>
      </c>
      <c r="I55" s="93">
        <v>268.9</v>
      </c>
      <c r="J55" s="118">
        <f>G55/I55</f>
        <v>0.00892525102268501</v>
      </c>
      <c r="L55" s="60"/>
      <c r="M55" s="60"/>
      <c r="N55" s="119"/>
    </row>
    <row r="56" s="61" customFormat="1" ht="30" customHeight="1" spans="1:13">
      <c r="A56" s="99">
        <v>8</v>
      </c>
      <c r="B56" s="101" t="s">
        <v>72</v>
      </c>
      <c r="C56" s="94">
        <f t="shared" si="4"/>
        <v>2</v>
      </c>
      <c r="D56" s="94"/>
      <c r="E56" s="94"/>
      <c r="F56" s="94"/>
      <c r="G56" s="92">
        <v>2</v>
      </c>
      <c r="H56" s="93" t="s">
        <v>15</v>
      </c>
      <c r="I56" s="93">
        <v>268.9</v>
      </c>
      <c r="J56" s="118">
        <f>G56/I56</f>
        <v>0.00743770918557084</v>
      </c>
      <c r="L56" s="60"/>
      <c r="M56" s="60"/>
    </row>
    <row r="57" s="61" customFormat="1" ht="30" customHeight="1" spans="1:13">
      <c r="A57" s="99">
        <v>9</v>
      </c>
      <c r="B57" s="101" t="s">
        <v>73</v>
      </c>
      <c r="C57" s="94">
        <f t="shared" si="4"/>
        <v>1</v>
      </c>
      <c r="D57" s="94"/>
      <c r="E57" s="94"/>
      <c r="F57" s="94"/>
      <c r="G57" s="94">
        <v>1</v>
      </c>
      <c r="H57" s="93" t="s">
        <v>15</v>
      </c>
      <c r="I57" s="93">
        <f>I53</f>
        <v>268.9</v>
      </c>
      <c r="J57" s="118">
        <f>G57/I57</f>
        <v>0.00371885459278542</v>
      </c>
      <c r="L57" s="60"/>
      <c r="M57" s="60"/>
    </row>
    <row r="58" s="61" customFormat="1" ht="30" customHeight="1" spans="1:13">
      <c r="A58" s="99">
        <v>10</v>
      </c>
      <c r="B58" s="101" t="s">
        <v>95</v>
      </c>
      <c r="C58" s="94">
        <f t="shared" si="4"/>
        <v>2.1823</v>
      </c>
      <c r="D58" s="94"/>
      <c r="E58" s="94"/>
      <c r="F58" s="94"/>
      <c r="G58" s="94">
        <f>((I58-100)*0.7%+1)</f>
        <v>2.1823</v>
      </c>
      <c r="H58" s="93" t="s">
        <v>15</v>
      </c>
      <c r="I58" s="93">
        <f>I57</f>
        <v>268.9</v>
      </c>
      <c r="J58" s="118">
        <f>G58/I58</f>
        <v>0.00811565637783563</v>
      </c>
      <c r="L58" s="60"/>
      <c r="M58" s="60"/>
    </row>
    <row r="59" s="61" customFormat="1" ht="30" customHeight="1" spans="1:13">
      <c r="A59" s="99">
        <v>11</v>
      </c>
      <c r="B59" s="101" t="s">
        <v>75</v>
      </c>
      <c r="C59" s="94">
        <f t="shared" si="4"/>
        <v>25</v>
      </c>
      <c r="D59" s="94"/>
      <c r="E59" s="94"/>
      <c r="F59" s="94"/>
      <c r="G59" s="94">
        <v>25</v>
      </c>
      <c r="H59" s="101" t="s">
        <v>15</v>
      </c>
      <c r="I59" s="101"/>
      <c r="J59" s="101"/>
      <c r="L59" s="60"/>
      <c r="M59" s="60"/>
    </row>
    <row r="60" s="61" customFormat="1" ht="30" customHeight="1" spans="1:13">
      <c r="A60" s="102"/>
      <c r="B60" s="101" t="s">
        <v>33</v>
      </c>
      <c r="C60" s="94">
        <f>SUM(C49:C59)</f>
        <v>46.3928022666667</v>
      </c>
      <c r="D60" s="94"/>
      <c r="E60" s="94"/>
      <c r="F60" s="94"/>
      <c r="G60" s="94">
        <f>SUM(G49:G59)</f>
        <v>46.3928022666667</v>
      </c>
      <c r="H60" s="93" t="s">
        <v>15</v>
      </c>
      <c r="I60" s="102"/>
      <c r="J60" s="102"/>
      <c r="L60" s="60"/>
      <c r="M60" s="60"/>
    </row>
    <row r="61" s="63" customFormat="1" ht="30" customHeight="1" spans="1:19">
      <c r="A61" s="103" t="s">
        <v>76</v>
      </c>
      <c r="B61" s="82" t="s">
        <v>77</v>
      </c>
      <c r="C61" s="83">
        <f>G61</f>
        <v>16.0983976133333</v>
      </c>
      <c r="D61" s="83"/>
      <c r="E61" s="83"/>
      <c r="F61" s="83"/>
      <c r="G61" s="88">
        <f>I61*J61</f>
        <v>16.0983976133333</v>
      </c>
      <c r="H61" s="84" t="s">
        <v>15</v>
      </c>
      <c r="I61" s="120">
        <f>G4+G48</f>
        <v>321.967952266667</v>
      </c>
      <c r="J61" s="121">
        <v>0.05</v>
      </c>
      <c r="M61" s="61"/>
      <c r="N61" s="61"/>
      <c r="O61" s="61"/>
      <c r="P61" s="61"/>
      <c r="Q61" s="61"/>
      <c r="R61" s="61"/>
      <c r="S61" s="61"/>
    </row>
    <row r="62" s="64" customFormat="1" ht="30" customHeight="1" spans="1:19">
      <c r="A62" s="103" t="s">
        <v>78</v>
      </c>
      <c r="B62" s="82" t="s">
        <v>79</v>
      </c>
      <c r="C62" s="83">
        <f>C4</f>
        <v>273.91515</v>
      </c>
      <c r="D62" s="83">
        <f>D4</f>
        <v>0</v>
      </c>
      <c r="E62" s="83">
        <f>E4</f>
        <v>1.66</v>
      </c>
      <c r="F62" s="83">
        <f>G61+G48</f>
        <v>62.49119988</v>
      </c>
      <c r="G62" s="83">
        <f>C62+D62+E62+F62</f>
        <v>338.06634988</v>
      </c>
      <c r="H62" s="84" t="s">
        <v>15</v>
      </c>
      <c r="I62" s="84"/>
      <c r="J62" s="83"/>
      <c r="M62" s="61"/>
      <c r="N62" s="61"/>
      <c r="O62" s="61"/>
      <c r="P62" s="61"/>
      <c r="Q62" s="61"/>
      <c r="R62" s="61"/>
      <c r="S62" s="61"/>
    </row>
    <row r="63" s="65" customFormat="1" ht="30" customHeight="1" spans="1:19">
      <c r="A63" s="103" t="s">
        <v>80</v>
      </c>
      <c r="B63" s="105" t="s">
        <v>81</v>
      </c>
      <c r="C63" s="106">
        <f>C62/G62</f>
        <v>0.8102408006512</v>
      </c>
      <c r="D63" s="106">
        <f>D62/G62</f>
        <v>0</v>
      </c>
      <c r="E63" s="106">
        <f>E62/G62</f>
        <v>0.00491027870886657</v>
      </c>
      <c r="F63" s="107">
        <f>F62/G62</f>
        <v>0.184848920639933</v>
      </c>
      <c r="G63" s="106">
        <f>SUM(C63:F63)</f>
        <v>1</v>
      </c>
      <c r="H63" s="108"/>
      <c r="I63" s="120"/>
      <c r="J63" s="122"/>
      <c r="M63" s="61"/>
      <c r="N63" s="61"/>
      <c r="O63" s="61"/>
      <c r="P63" s="61"/>
      <c r="Q63" s="61"/>
      <c r="R63" s="61"/>
      <c r="S63" s="61"/>
    </row>
    <row r="64" ht="21.95" customHeight="1" spans="1:19">
      <c r="A64" s="109"/>
      <c r="B64" s="110"/>
      <c r="C64" s="110"/>
      <c r="D64" s="111"/>
      <c r="E64" s="112"/>
      <c r="F64" s="113"/>
      <c r="G64" s="113"/>
      <c r="H64" s="114"/>
      <c r="M64" s="61"/>
      <c r="N64" s="61"/>
      <c r="O64" s="61"/>
      <c r="P64" s="61"/>
      <c r="Q64" s="61"/>
      <c r="R64" s="61"/>
      <c r="S64" s="61"/>
    </row>
    <row r="65" ht="21.95" customHeight="1" spans="1:19">
      <c r="A65" s="109"/>
      <c r="B65" s="61"/>
      <c r="C65" s="61"/>
      <c r="D65" s="61"/>
      <c r="E65" s="61"/>
      <c r="F65" s="61"/>
      <c r="G65" s="61"/>
      <c r="H65" s="61"/>
      <c r="I65" s="61"/>
      <c r="M65" s="61"/>
      <c r="N65" s="61"/>
      <c r="O65" s="61"/>
      <c r="P65" s="61"/>
      <c r="Q65" s="61"/>
      <c r="R65" s="61"/>
      <c r="S65" s="61"/>
    </row>
    <row r="66" ht="21.95" customHeight="1" spans="1:8">
      <c r="A66" s="109"/>
      <c r="B66" s="110"/>
      <c r="C66" s="110"/>
      <c r="D66" s="111"/>
      <c r="E66" s="112"/>
      <c r="F66" s="115"/>
      <c r="G66" s="113"/>
      <c r="H66" s="114"/>
    </row>
    <row r="67" ht="21.95" customHeight="1" spans="1:8">
      <c r="A67" s="109"/>
      <c r="B67" s="110"/>
      <c r="C67" s="110"/>
      <c r="D67" s="111"/>
      <c r="E67" s="112"/>
      <c r="F67" s="115"/>
      <c r="G67" s="113"/>
      <c r="H67" s="114"/>
    </row>
    <row r="68" ht="21.95" customHeight="1" spans="1:8">
      <c r="A68" s="109"/>
      <c r="B68" s="110"/>
      <c r="C68" s="110"/>
      <c r="D68" s="111"/>
      <c r="E68" s="112"/>
      <c r="F68" s="115"/>
      <c r="G68" s="113"/>
      <c r="H68" s="114"/>
    </row>
    <row r="69" ht="21.95" customHeight="1" spans="1:8">
      <c r="A69" s="109"/>
      <c r="B69" s="110"/>
      <c r="C69" s="110"/>
      <c r="D69" s="111"/>
      <c r="E69" s="112"/>
      <c r="F69" s="115"/>
      <c r="G69" s="113"/>
      <c r="H69" s="114"/>
    </row>
    <row r="70" ht="21.95" customHeight="1" spans="1:8">
      <c r="A70" s="109"/>
      <c r="B70" s="110"/>
      <c r="C70" s="110"/>
      <c r="D70" s="111"/>
      <c r="E70" s="112"/>
      <c r="F70" s="115"/>
      <c r="G70" s="113"/>
      <c r="H70" s="114"/>
    </row>
    <row r="71" ht="21.95" customHeight="1" spans="1:8">
      <c r="A71" s="109"/>
      <c r="B71" s="110"/>
      <c r="C71" s="110"/>
      <c r="D71" s="111"/>
      <c r="E71" s="112"/>
      <c r="F71" s="115"/>
      <c r="G71" s="113"/>
      <c r="H71" s="114"/>
    </row>
    <row r="72" ht="21.95" customHeight="1" spans="1:8">
      <c r="A72" s="109"/>
      <c r="B72" s="110"/>
      <c r="C72" s="110"/>
      <c r="D72" s="111"/>
      <c r="E72" s="112"/>
      <c r="F72" s="115"/>
      <c r="G72" s="113"/>
      <c r="H72" s="114"/>
    </row>
    <row r="73" ht="21.95" customHeight="1" spans="1:8">
      <c r="A73" s="109"/>
      <c r="B73" s="110"/>
      <c r="C73" s="110"/>
      <c r="D73" s="111"/>
      <c r="E73" s="112"/>
      <c r="F73" s="115"/>
      <c r="G73" s="113"/>
      <c r="H73" s="114"/>
    </row>
    <row r="74" ht="21.95" customHeight="1" spans="1:8">
      <c r="A74" s="109"/>
      <c r="B74" s="110"/>
      <c r="C74" s="110"/>
      <c r="D74" s="111"/>
      <c r="E74" s="112"/>
      <c r="F74" s="115"/>
      <c r="G74" s="113"/>
      <c r="H74" s="114"/>
    </row>
    <row r="75" ht="21.95" customHeight="1" spans="1:8">
      <c r="A75" s="109"/>
      <c r="B75" s="110"/>
      <c r="C75" s="110"/>
      <c r="D75" s="111"/>
      <c r="E75" s="112"/>
      <c r="F75" s="115"/>
      <c r="G75" s="113"/>
      <c r="H75" s="114"/>
    </row>
    <row r="76" ht="21.95" customHeight="1" spans="1:8">
      <c r="A76" s="109"/>
      <c r="B76" s="110"/>
      <c r="C76" s="110"/>
      <c r="D76" s="111"/>
      <c r="E76" s="112"/>
      <c r="F76" s="115"/>
      <c r="G76" s="113"/>
      <c r="H76" s="114"/>
    </row>
    <row r="77" ht="21.95" customHeight="1" spans="1:8">
      <c r="A77" s="109"/>
      <c r="B77" s="110"/>
      <c r="C77" s="110"/>
      <c r="D77" s="111"/>
      <c r="E77" s="112"/>
      <c r="F77" s="115"/>
      <c r="G77" s="113"/>
      <c r="H77" s="114"/>
    </row>
    <row r="78" ht="21.95" customHeight="1" spans="1:8">
      <c r="A78" s="109"/>
      <c r="B78" s="110"/>
      <c r="C78" s="110"/>
      <c r="D78" s="111"/>
      <c r="E78" s="112"/>
      <c r="F78" s="115"/>
      <c r="G78" s="113"/>
      <c r="H78" s="114"/>
    </row>
    <row r="79" ht="21.95" customHeight="1" spans="1:8">
      <c r="A79" s="109"/>
      <c r="B79" s="110"/>
      <c r="C79" s="110"/>
      <c r="D79" s="111"/>
      <c r="E79" s="112"/>
      <c r="F79" s="115"/>
      <c r="G79" s="113"/>
      <c r="H79" s="114"/>
    </row>
    <row r="80" s="66" customFormat="1" ht="21.95" customHeight="1" spans="1:21">
      <c r="A80" s="109"/>
      <c r="B80" s="110"/>
      <c r="C80" s="110"/>
      <c r="D80" s="111"/>
      <c r="E80" s="112"/>
      <c r="F80" s="115"/>
      <c r="G80" s="113"/>
      <c r="H80" s="114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="66" customFormat="1" ht="21.95" customHeight="1" spans="1:21">
      <c r="A81" s="109"/>
      <c r="B81" s="110"/>
      <c r="C81" s="110"/>
      <c r="D81" s="111"/>
      <c r="E81" s="112"/>
      <c r="F81" s="115"/>
      <c r="G81" s="113"/>
      <c r="H81" s="114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="66" customFormat="1" ht="21.95" customHeight="1" spans="1:21">
      <c r="A82" s="109"/>
      <c r="B82" s="110"/>
      <c r="C82" s="110"/>
      <c r="D82" s="111"/>
      <c r="E82" s="112"/>
      <c r="F82" s="115"/>
      <c r="G82" s="113"/>
      <c r="H82" s="114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="66" customFormat="1" ht="21.95" customHeight="1" spans="1:21">
      <c r="A83" s="109"/>
      <c r="B83" s="110"/>
      <c r="C83" s="110"/>
      <c r="D83" s="111"/>
      <c r="E83" s="112"/>
      <c r="F83" s="115"/>
      <c r="G83" s="113"/>
      <c r="H83" s="114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="66" customFormat="1" ht="21.95" customHeight="1" spans="1:21">
      <c r="A84" s="109"/>
      <c r="B84" s="110"/>
      <c r="C84" s="110"/>
      <c r="D84" s="111"/>
      <c r="E84" s="112"/>
      <c r="F84" s="115"/>
      <c r="G84" s="113"/>
      <c r="H84" s="114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="66" customFormat="1" ht="21.95" customHeight="1" spans="1:21">
      <c r="A85" s="109"/>
      <c r="B85" s="110"/>
      <c r="C85" s="110"/>
      <c r="D85" s="111"/>
      <c r="E85" s="112"/>
      <c r="F85" s="115"/>
      <c r="G85" s="113"/>
      <c r="H85" s="114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="66" customFormat="1" ht="21.95" customHeight="1" spans="1:21">
      <c r="A86" s="109"/>
      <c r="B86" s="110"/>
      <c r="C86" s="110"/>
      <c r="D86" s="111"/>
      <c r="E86" s="112"/>
      <c r="F86" s="115"/>
      <c r="G86" s="113"/>
      <c r="H86" s="114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="66" customFormat="1" ht="21.95" customHeight="1" spans="1:21">
      <c r="A87" s="109"/>
      <c r="B87" s="110"/>
      <c r="C87" s="110"/>
      <c r="D87" s="111"/>
      <c r="E87" s="112"/>
      <c r="F87" s="115"/>
      <c r="G87" s="113"/>
      <c r="H87" s="114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="66" customFormat="1" ht="21.95" customHeight="1" spans="1:21">
      <c r="A88" s="109"/>
      <c r="B88" s="110"/>
      <c r="C88" s="110"/>
      <c r="D88" s="111"/>
      <c r="E88" s="112"/>
      <c r="F88" s="115"/>
      <c r="G88" s="113"/>
      <c r="H88" s="114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="66" customFormat="1" ht="21.95" customHeight="1" spans="1:21">
      <c r="A89" s="109"/>
      <c r="B89" s="110"/>
      <c r="C89" s="110"/>
      <c r="D89" s="111"/>
      <c r="E89" s="112"/>
      <c r="F89" s="115"/>
      <c r="G89" s="113"/>
      <c r="H89" s="114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="66" customFormat="1" ht="21.95" customHeight="1" spans="1:21">
      <c r="A90" s="109"/>
      <c r="B90" s="110"/>
      <c r="C90" s="110"/>
      <c r="D90" s="111"/>
      <c r="E90" s="112"/>
      <c r="F90" s="115"/>
      <c r="G90" s="113"/>
      <c r="H90" s="114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="66" customFormat="1" ht="21.95" customHeight="1" spans="1:21">
      <c r="A91" s="109"/>
      <c r="B91" s="110"/>
      <c r="C91" s="110"/>
      <c r="D91" s="111"/>
      <c r="E91" s="112"/>
      <c r="F91" s="115"/>
      <c r="G91" s="113"/>
      <c r="H91" s="11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="66" customFormat="1" ht="21.95" customHeight="1" spans="1:21">
      <c r="A92" s="109"/>
      <c r="B92" s="110"/>
      <c r="C92" s="110"/>
      <c r="D92" s="111"/>
      <c r="E92" s="112"/>
      <c r="F92" s="115"/>
      <c r="G92" s="113"/>
      <c r="H92" s="114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="66" customFormat="1" ht="21.95" customHeight="1" spans="1:21">
      <c r="A93" s="109"/>
      <c r="B93" s="110"/>
      <c r="C93" s="110"/>
      <c r="D93" s="111"/>
      <c r="E93" s="112"/>
      <c r="F93" s="115"/>
      <c r="G93" s="113"/>
      <c r="H93" s="114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="66" customFormat="1" ht="21.95" customHeight="1" spans="1:21">
      <c r="A94" s="109"/>
      <c r="B94" s="110"/>
      <c r="C94" s="110"/>
      <c r="D94" s="111"/>
      <c r="E94" s="112"/>
      <c r="F94" s="115"/>
      <c r="G94" s="113"/>
      <c r="H94" s="114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="66" customFormat="1" ht="21.95" customHeight="1" spans="1:21">
      <c r="A95" s="109"/>
      <c r="B95" s="110"/>
      <c r="C95" s="110"/>
      <c r="D95" s="111"/>
      <c r="E95" s="112"/>
      <c r="F95" s="115"/>
      <c r="G95" s="113"/>
      <c r="H95" s="114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="66" customFormat="1" ht="21.95" customHeight="1" spans="1:21">
      <c r="A96" s="109"/>
      <c r="B96" s="110"/>
      <c r="C96" s="110"/>
      <c r="D96" s="111"/>
      <c r="E96" s="112"/>
      <c r="F96" s="115"/>
      <c r="G96" s="113"/>
      <c r="H96" s="114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="66" customFormat="1" ht="21.95" customHeight="1" spans="1:21">
      <c r="A97" s="109"/>
      <c r="B97" s="110"/>
      <c r="C97" s="110"/>
      <c r="D97" s="111"/>
      <c r="E97" s="112"/>
      <c r="F97" s="115"/>
      <c r="G97" s="113"/>
      <c r="H97" s="114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="66" customFormat="1" ht="21.95" customHeight="1" spans="1:21">
      <c r="A98" s="109"/>
      <c r="B98" s="110"/>
      <c r="C98" s="110"/>
      <c r="D98" s="111"/>
      <c r="E98" s="112"/>
      <c r="F98" s="115"/>
      <c r="G98" s="113"/>
      <c r="H98" s="114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="66" customFormat="1" ht="21.95" customHeight="1" spans="1:21">
      <c r="A99" s="109"/>
      <c r="B99" s="110"/>
      <c r="C99" s="110"/>
      <c r="D99" s="111"/>
      <c r="E99" s="112"/>
      <c r="F99" s="115"/>
      <c r="G99" s="113"/>
      <c r="H99" s="114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="66" customFormat="1" ht="21.95" customHeight="1" spans="1:21">
      <c r="A100" s="109"/>
      <c r="B100" s="110"/>
      <c r="C100" s="110"/>
      <c r="D100" s="111"/>
      <c r="E100" s="112"/>
      <c r="F100" s="115"/>
      <c r="G100" s="113"/>
      <c r="H100" s="114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="66" customFormat="1" ht="21.95" customHeight="1" spans="1:21">
      <c r="A101" s="67"/>
      <c r="D101" s="68"/>
      <c r="E101" s="69"/>
      <c r="F101" s="70"/>
      <c r="G101" s="71"/>
      <c r="H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="66" customFormat="1" ht="21.95" customHeight="1" spans="1:21">
      <c r="A102" s="67"/>
      <c r="D102" s="68"/>
      <c r="E102" s="69"/>
      <c r="F102" s="70"/>
      <c r="G102" s="71"/>
      <c r="H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="66" customFormat="1" ht="21.95" customHeight="1" spans="1:21">
      <c r="A103" s="67"/>
      <c r="D103" s="68"/>
      <c r="E103" s="69"/>
      <c r="F103" s="70"/>
      <c r="G103" s="71"/>
      <c r="H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="66" customFormat="1" ht="21.95" customHeight="1" spans="1:21">
      <c r="A104" s="67"/>
      <c r="D104" s="68"/>
      <c r="E104" s="69"/>
      <c r="F104" s="70"/>
      <c r="G104" s="71"/>
      <c r="H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="66" customFormat="1" ht="21.95" customHeight="1" spans="1:21">
      <c r="A105" s="67"/>
      <c r="D105" s="68"/>
      <c r="E105" s="69"/>
      <c r="F105" s="70"/>
      <c r="G105" s="71"/>
      <c r="H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="66" customFormat="1" ht="21.95" customHeight="1" spans="1:21">
      <c r="A106" s="67"/>
      <c r="D106" s="68"/>
      <c r="E106" s="69"/>
      <c r="F106" s="70"/>
      <c r="G106" s="71"/>
      <c r="H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="66" customFormat="1" ht="21.95" customHeight="1" spans="1:21">
      <c r="A107" s="67"/>
      <c r="D107" s="68"/>
      <c r="E107" s="69"/>
      <c r="F107" s="70"/>
      <c r="G107" s="71"/>
      <c r="H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="66" customFormat="1" ht="21.95" customHeight="1" spans="1:21">
      <c r="A108" s="67"/>
      <c r="D108" s="68"/>
      <c r="E108" s="69"/>
      <c r="F108" s="70"/>
      <c r="G108" s="71"/>
      <c r="H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="66" customFormat="1" ht="21.95" customHeight="1" spans="1:21">
      <c r="A109" s="67"/>
      <c r="D109" s="68"/>
      <c r="E109" s="69"/>
      <c r="F109" s="70"/>
      <c r="G109" s="71"/>
      <c r="H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="66" customFormat="1" ht="21.95" customHeight="1" spans="1:21">
      <c r="A110" s="67"/>
      <c r="D110" s="68"/>
      <c r="E110" s="69"/>
      <c r="F110" s="70"/>
      <c r="G110" s="71"/>
      <c r="H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="66" customFormat="1" ht="21.95" customHeight="1" spans="1:21">
      <c r="A111" s="67"/>
      <c r="D111" s="68"/>
      <c r="E111" s="69"/>
      <c r="F111" s="70"/>
      <c r="G111" s="71"/>
      <c r="H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="67" customFormat="1" ht="21.95" customHeight="1" spans="2:21">
      <c r="B112" s="66"/>
      <c r="C112" s="66"/>
      <c r="D112" s="68"/>
      <c r="E112" s="69"/>
      <c r="F112" s="70"/>
      <c r="G112" s="71"/>
      <c r="H112" s="72"/>
      <c r="I112" s="66"/>
      <c r="J112" s="66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="67" customFormat="1" ht="21.95" customHeight="1" spans="2:21">
      <c r="B113" s="66"/>
      <c r="C113" s="66"/>
      <c r="D113" s="68"/>
      <c r="E113" s="69"/>
      <c r="F113" s="70"/>
      <c r="G113" s="71"/>
      <c r="H113" s="72"/>
      <c r="I113" s="66"/>
      <c r="J113" s="66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="67" customFormat="1" ht="21.95" customHeight="1" spans="2:21">
      <c r="B114" s="66"/>
      <c r="C114" s="66"/>
      <c r="D114" s="68"/>
      <c r="E114" s="69"/>
      <c r="F114" s="70"/>
      <c r="G114" s="71"/>
      <c r="H114" s="72"/>
      <c r="I114" s="66"/>
      <c r="J114" s="66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="67" customFormat="1" ht="21.95" customHeight="1" spans="2:21">
      <c r="B115" s="66"/>
      <c r="C115" s="66"/>
      <c r="D115" s="68"/>
      <c r="E115" s="69"/>
      <c r="F115" s="70"/>
      <c r="G115" s="71"/>
      <c r="H115" s="72"/>
      <c r="I115" s="66"/>
      <c r="J115" s="66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="67" customFormat="1" ht="21.95" customHeight="1" spans="2:21">
      <c r="B116" s="66"/>
      <c r="C116" s="66"/>
      <c r="D116" s="68"/>
      <c r="E116" s="69"/>
      <c r="F116" s="70"/>
      <c r="G116" s="71"/>
      <c r="H116" s="72"/>
      <c r="I116" s="66"/>
      <c r="J116" s="66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="67" customFormat="1" ht="21.95" customHeight="1" spans="2:21">
      <c r="B117" s="66"/>
      <c r="C117" s="66"/>
      <c r="D117" s="68"/>
      <c r="E117" s="69"/>
      <c r="F117" s="70"/>
      <c r="G117" s="71"/>
      <c r="H117" s="72"/>
      <c r="I117" s="66"/>
      <c r="J117" s="66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="67" customFormat="1" ht="21.95" customHeight="1" spans="2:21">
      <c r="B118" s="66"/>
      <c r="C118" s="66"/>
      <c r="D118" s="68"/>
      <c r="E118" s="69"/>
      <c r="F118" s="70"/>
      <c r="G118" s="71"/>
      <c r="H118" s="72"/>
      <c r="I118" s="66"/>
      <c r="J118" s="66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="67" customFormat="1" ht="21.95" customHeight="1" spans="2:21">
      <c r="B119" s="66"/>
      <c r="C119" s="66"/>
      <c r="D119" s="68"/>
      <c r="E119" s="69"/>
      <c r="F119" s="70"/>
      <c r="G119" s="71"/>
      <c r="H119" s="72"/>
      <c r="I119" s="66"/>
      <c r="J119" s="66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="67" customFormat="1" ht="21.95" customHeight="1" spans="2:21">
      <c r="B120" s="66"/>
      <c r="C120" s="66"/>
      <c r="D120" s="68"/>
      <c r="E120" s="69"/>
      <c r="F120" s="70"/>
      <c r="G120" s="71"/>
      <c r="H120" s="72"/>
      <c r="I120" s="66"/>
      <c r="J120" s="66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="67" customFormat="1" ht="21.95" customHeight="1" spans="2:21">
      <c r="B121" s="66"/>
      <c r="C121" s="66"/>
      <c r="D121" s="68"/>
      <c r="E121" s="69"/>
      <c r="F121" s="70"/>
      <c r="G121" s="71"/>
      <c r="H121" s="72"/>
      <c r="I121" s="66"/>
      <c r="J121" s="66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="67" customFormat="1" ht="21.95" customHeight="1" spans="2:21">
      <c r="B122" s="66"/>
      <c r="C122" s="66"/>
      <c r="D122" s="68"/>
      <c r="E122" s="69"/>
      <c r="F122" s="70"/>
      <c r="G122" s="71"/>
      <c r="H122" s="72"/>
      <c r="I122" s="66"/>
      <c r="J122" s="66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="67" customFormat="1" ht="21.95" customHeight="1" spans="2:21">
      <c r="B123" s="66"/>
      <c r="C123" s="66"/>
      <c r="D123" s="68"/>
      <c r="E123" s="69"/>
      <c r="F123" s="70"/>
      <c r="G123" s="71"/>
      <c r="H123" s="72"/>
      <c r="I123" s="66"/>
      <c r="J123" s="66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="67" customFormat="1" ht="21.95" customHeight="1" spans="2:21">
      <c r="B124" s="66"/>
      <c r="C124" s="66"/>
      <c r="D124" s="68"/>
      <c r="E124" s="69"/>
      <c r="F124" s="70"/>
      <c r="G124" s="71"/>
      <c r="H124" s="72"/>
      <c r="I124" s="66"/>
      <c r="J124" s="66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="67" customFormat="1" ht="21.95" customHeight="1" spans="2:21">
      <c r="B125" s="66"/>
      <c r="C125" s="66"/>
      <c r="D125" s="68"/>
      <c r="E125" s="69"/>
      <c r="F125" s="70"/>
      <c r="G125" s="71"/>
      <c r="H125" s="72"/>
      <c r="I125" s="66"/>
      <c r="J125" s="66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="67" customFormat="1" ht="21.95" customHeight="1" spans="2:21">
      <c r="B126" s="66"/>
      <c r="C126" s="66"/>
      <c r="D126" s="68"/>
      <c r="E126" s="69"/>
      <c r="F126" s="70"/>
      <c r="G126" s="71"/>
      <c r="H126" s="72"/>
      <c r="I126" s="66"/>
      <c r="J126" s="66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="67" customFormat="1" ht="21.95" customHeight="1" spans="2:21">
      <c r="B127" s="66"/>
      <c r="C127" s="66"/>
      <c r="D127" s="68"/>
      <c r="E127" s="69"/>
      <c r="F127" s="70"/>
      <c r="G127" s="71"/>
      <c r="H127" s="72"/>
      <c r="I127" s="66"/>
      <c r="J127" s="66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="67" customFormat="1" ht="21.95" customHeight="1" spans="2:21">
      <c r="B128" s="66"/>
      <c r="C128" s="66"/>
      <c r="D128" s="68"/>
      <c r="E128" s="69"/>
      <c r="F128" s="70"/>
      <c r="G128" s="71"/>
      <c r="H128" s="72"/>
      <c r="I128" s="66"/>
      <c r="J128" s="66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="67" customFormat="1" ht="21.95" customHeight="1" spans="2:21">
      <c r="B129" s="66"/>
      <c r="C129" s="66"/>
      <c r="D129" s="68"/>
      <c r="E129" s="69"/>
      <c r="F129" s="70"/>
      <c r="G129" s="71"/>
      <c r="H129" s="72"/>
      <c r="I129" s="66"/>
      <c r="J129" s="66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="67" customFormat="1" ht="21.95" customHeight="1" spans="2:21">
      <c r="B130" s="66"/>
      <c r="C130" s="66"/>
      <c r="D130" s="68"/>
      <c r="E130" s="69"/>
      <c r="F130" s="70"/>
      <c r="G130" s="71"/>
      <c r="H130" s="72"/>
      <c r="I130" s="66"/>
      <c r="J130" s="66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="67" customFormat="1" ht="21.95" customHeight="1" spans="2:21">
      <c r="B131" s="66"/>
      <c r="C131" s="66"/>
      <c r="D131" s="68"/>
      <c r="E131" s="69"/>
      <c r="F131" s="70"/>
      <c r="G131" s="71"/>
      <c r="H131" s="72"/>
      <c r="I131" s="66"/>
      <c r="J131" s="66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="67" customFormat="1" ht="21.95" customHeight="1" spans="2:21">
      <c r="B132" s="66"/>
      <c r="C132" s="66"/>
      <c r="D132" s="68"/>
      <c r="E132" s="69"/>
      <c r="F132" s="70"/>
      <c r="G132" s="71"/>
      <c r="H132" s="72"/>
      <c r="I132" s="66"/>
      <c r="J132" s="66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="67" customFormat="1" ht="21.95" customHeight="1" spans="2:21">
      <c r="B133" s="66"/>
      <c r="C133" s="66"/>
      <c r="D133" s="68"/>
      <c r="E133" s="69"/>
      <c r="F133" s="70"/>
      <c r="G133" s="71"/>
      <c r="H133" s="72"/>
      <c r="I133" s="66"/>
      <c r="J133" s="66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="67" customFormat="1" ht="21.95" customHeight="1" spans="2:21">
      <c r="B134" s="66"/>
      <c r="C134" s="66"/>
      <c r="D134" s="68"/>
      <c r="E134" s="69"/>
      <c r="F134" s="70"/>
      <c r="G134" s="71"/>
      <c r="H134" s="72"/>
      <c r="I134" s="66"/>
      <c r="J134" s="66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="67" customFormat="1" ht="21.95" customHeight="1" spans="2:21">
      <c r="B135" s="66"/>
      <c r="C135" s="66"/>
      <c r="D135" s="68"/>
      <c r="E135" s="69"/>
      <c r="F135" s="70"/>
      <c r="G135" s="71"/>
      <c r="H135" s="72"/>
      <c r="I135" s="66"/>
      <c r="J135" s="66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="67" customFormat="1" ht="21.95" customHeight="1" spans="2:21">
      <c r="B136" s="66"/>
      <c r="C136" s="66"/>
      <c r="D136" s="68"/>
      <c r="E136" s="69"/>
      <c r="F136" s="70"/>
      <c r="G136" s="71"/>
      <c r="H136" s="72"/>
      <c r="I136" s="66"/>
      <c r="J136" s="66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="67" customFormat="1" ht="21.95" customHeight="1" spans="2:21">
      <c r="B137" s="66"/>
      <c r="C137" s="66"/>
      <c r="D137" s="68"/>
      <c r="E137" s="69"/>
      <c r="F137" s="70"/>
      <c r="G137" s="71"/>
      <c r="H137" s="72"/>
      <c r="I137" s="66"/>
      <c r="J137" s="66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="67" customFormat="1" ht="21.95" customHeight="1" spans="2:21">
      <c r="B138" s="66"/>
      <c r="C138" s="66"/>
      <c r="D138" s="68"/>
      <c r="E138" s="69"/>
      <c r="F138" s="70"/>
      <c r="G138" s="71"/>
      <c r="H138" s="72"/>
      <c r="I138" s="66"/>
      <c r="J138" s="66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="67" customFormat="1" ht="21.95" customHeight="1" spans="2:21">
      <c r="B139" s="66"/>
      <c r="C139" s="66"/>
      <c r="D139" s="68"/>
      <c r="E139" s="69"/>
      <c r="F139" s="70"/>
      <c r="G139" s="71"/>
      <c r="H139" s="72"/>
      <c r="I139" s="66"/>
      <c r="J139" s="66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="67" customFormat="1" ht="21.95" customHeight="1" spans="2:21">
      <c r="B140" s="66"/>
      <c r="C140" s="66"/>
      <c r="D140" s="68"/>
      <c r="E140" s="69"/>
      <c r="F140" s="70"/>
      <c r="G140" s="71"/>
      <c r="H140" s="72"/>
      <c r="I140" s="66"/>
      <c r="J140" s="66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</sheetData>
  <mergeCells count="5">
    <mergeCell ref="A1:J1"/>
    <mergeCell ref="C2:G2"/>
    <mergeCell ref="H2:J2"/>
    <mergeCell ref="A2:A3"/>
    <mergeCell ref="B2:B3"/>
  </mergeCells>
  <printOptions horizontalCentered="1"/>
  <pageMargins left="0.589583333333333" right="0.589583333333333" top="0.0395833333333333" bottom="0.789583333333333" header="0.509722222222222" footer="0.509722222222222"/>
  <pageSetup paperSize="9" scale="75" firstPageNumber="4" fitToHeight="0" orientation="portrait" useFirstPageNumber="1" horizontalDpi="600" verticalDpi="600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0"/>
  <sheetViews>
    <sheetView zoomScale="85" zoomScaleNormal="85" topLeftCell="A43" workbookViewId="0">
      <selection activeCell="G55" sqref="G55"/>
    </sheetView>
  </sheetViews>
  <sheetFormatPr defaultColWidth="9" defaultRowHeight="21" customHeight="1"/>
  <cols>
    <col min="1" max="1" width="6.25" style="67" customWidth="1"/>
    <col min="2" max="2" width="30.75" style="66" customWidth="1"/>
    <col min="3" max="3" width="10.125" style="66" customWidth="1"/>
    <col min="4" max="4" width="11.25" style="68" customWidth="1"/>
    <col min="5" max="5" width="10.25" style="69" customWidth="1"/>
    <col min="6" max="6" width="8.625" style="70" customWidth="1"/>
    <col min="7" max="7" width="12.375" style="71" customWidth="1"/>
    <col min="8" max="8" width="5.625" style="72" customWidth="1"/>
    <col min="9" max="9" width="10.625" style="66" customWidth="1"/>
    <col min="10" max="10" width="11.125" style="66" customWidth="1"/>
    <col min="11" max="11" width="10.375" style="72"/>
    <col min="12" max="12" width="49.25" style="72" customWidth="1"/>
    <col min="13" max="13" width="9" style="72"/>
    <col min="14" max="14" width="10.375" style="72"/>
    <col min="15" max="15" width="15.125" style="72" customWidth="1"/>
    <col min="16" max="16384" width="9" style="72"/>
  </cols>
  <sheetData>
    <row r="1" ht="60" customHeight="1" spans="1:1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ht="30" customHeight="1" spans="1:10">
      <c r="A2" s="74" t="s">
        <v>1</v>
      </c>
      <c r="B2" s="75" t="s">
        <v>2</v>
      </c>
      <c r="C2" s="76" t="s">
        <v>3</v>
      </c>
      <c r="D2" s="77"/>
      <c r="E2" s="77"/>
      <c r="F2" s="77"/>
      <c r="G2" s="77"/>
      <c r="H2" s="78" t="s">
        <v>4</v>
      </c>
      <c r="I2" s="78"/>
      <c r="J2" s="78"/>
    </row>
    <row r="3" s="59" customFormat="1" ht="30" customHeight="1" spans="1:10">
      <c r="A3" s="79"/>
      <c r="B3" s="80"/>
      <c r="C3" s="78" t="s">
        <v>5</v>
      </c>
      <c r="D3" s="78" t="s">
        <v>6</v>
      </c>
      <c r="E3" s="78" t="s">
        <v>7</v>
      </c>
      <c r="F3" s="78" t="s">
        <v>8</v>
      </c>
      <c r="G3" s="76" t="s">
        <v>9</v>
      </c>
      <c r="H3" s="78" t="s">
        <v>10</v>
      </c>
      <c r="I3" s="78" t="s">
        <v>11</v>
      </c>
      <c r="J3" s="78" t="s">
        <v>12</v>
      </c>
    </row>
    <row r="4" s="60" customFormat="1" ht="30" customHeight="1" spans="1:10">
      <c r="A4" s="81" t="s">
        <v>13</v>
      </c>
      <c r="B4" s="82" t="s">
        <v>14</v>
      </c>
      <c r="C4" s="83">
        <f>C5+C18+C25+C39+C46+C34</f>
        <v>273.91515</v>
      </c>
      <c r="D4" s="83">
        <f>D5+D18+D25+D39+D46+D34</f>
        <v>0</v>
      </c>
      <c r="E4" s="83">
        <f>E5+E18+E25+E39+E46+E34</f>
        <v>1.66</v>
      </c>
      <c r="F4" s="83"/>
      <c r="G4" s="83">
        <f>C4+D4+E4</f>
        <v>275.57515</v>
      </c>
      <c r="H4" s="84" t="s">
        <v>15</v>
      </c>
      <c r="I4" s="84"/>
      <c r="J4" s="84"/>
    </row>
    <row r="5" s="60" customFormat="1" ht="30" customHeight="1" spans="1:10">
      <c r="A5" s="81">
        <v>1</v>
      </c>
      <c r="B5" s="85" t="s">
        <v>16</v>
      </c>
      <c r="C5" s="86">
        <f>C17</f>
        <v>154.024</v>
      </c>
      <c r="D5" s="83"/>
      <c r="E5" s="87"/>
      <c r="F5" s="83"/>
      <c r="G5" s="88">
        <f>G17</f>
        <v>154.024</v>
      </c>
      <c r="H5" s="84" t="s">
        <v>15</v>
      </c>
      <c r="I5" s="84"/>
      <c r="J5" s="84"/>
    </row>
    <row r="6" s="60" customFormat="1" ht="30" customHeight="1" spans="1:10">
      <c r="A6" s="89">
        <v>1.1</v>
      </c>
      <c r="B6" s="90" t="s">
        <v>17</v>
      </c>
      <c r="C6" s="91">
        <f t="shared" ref="C6:C16" si="0">G6</f>
        <v>4.99</v>
      </c>
      <c r="D6" s="83"/>
      <c r="E6" s="87"/>
      <c r="F6" s="83"/>
      <c r="G6" s="92">
        <v>4.99</v>
      </c>
      <c r="H6" s="93" t="s">
        <v>18</v>
      </c>
      <c r="I6" s="93">
        <v>1438.3</v>
      </c>
      <c r="J6" s="116">
        <f>G6/I6*10000</f>
        <v>34.6937356601544</v>
      </c>
    </row>
    <row r="7" s="61" customFormat="1" ht="30" customHeight="1" spans="1:10">
      <c r="A7" s="89">
        <v>1.2</v>
      </c>
      <c r="B7" s="90" t="s">
        <v>19</v>
      </c>
      <c r="C7" s="91">
        <f t="shared" si="0"/>
        <v>15.44</v>
      </c>
      <c r="D7" s="83"/>
      <c r="E7" s="87"/>
      <c r="F7" s="83"/>
      <c r="G7" s="92">
        <v>15.44</v>
      </c>
      <c r="H7" s="93" t="s">
        <v>18</v>
      </c>
      <c r="I7" s="93">
        <f>74.1+780+1000</f>
        <v>1854.1</v>
      </c>
      <c r="J7" s="116">
        <f>G7/I7*10000</f>
        <v>83.2749042662208</v>
      </c>
    </row>
    <row r="8" s="61" customFormat="1" ht="30" customHeight="1" spans="1:10">
      <c r="A8" s="89">
        <v>1.3</v>
      </c>
      <c r="B8" s="96" t="s">
        <v>20</v>
      </c>
      <c r="C8" s="91">
        <f t="shared" si="0"/>
        <v>74.37</v>
      </c>
      <c r="D8" s="94"/>
      <c r="E8" s="95"/>
      <c r="F8" s="94"/>
      <c r="G8" s="92">
        <v>74.37</v>
      </c>
      <c r="H8" s="93" t="s">
        <v>21</v>
      </c>
      <c r="I8" s="93">
        <v>1776</v>
      </c>
      <c r="J8" s="116">
        <f>G8/I8*10000</f>
        <v>418.75</v>
      </c>
    </row>
    <row r="9" s="61" customFormat="1" ht="30" customHeight="1" spans="1:10">
      <c r="A9" s="89">
        <v>1.4</v>
      </c>
      <c r="B9" s="96" t="s">
        <v>22</v>
      </c>
      <c r="C9" s="91">
        <f t="shared" si="0"/>
        <v>8.34</v>
      </c>
      <c r="D9" s="94"/>
      <c r="E9" s="95"/>
      <c r="F9" s="94"/>
      <c r="G9" s="92">
        <v>8.34</v>
      </c>
      <c r="H9" s="93" t="s">
        <v>23</v>
      </c>
      <c r="I9" s="93">
        <v>593</v>
      </c>
      <c r="J9" s="116">
        <f>G9/I9*10000</f>
        <v>140.640809443508</v>
      </c>
    </row>
    <row r="10" s="61" customFormat="1" ht="30" customHeight="1" spans="1:10">
      <c r="A10" s="89">
        <v>1.5</v>
      </c>
      <c r="B10" s="96" t="s">
        <v>24</v>
      </c>
      <c r="C10" s="91">
        <f t="shared" si="0"/>
        <v>30.72</v>
      </c>
      <c r="D10" s="94"/>
      <c r="E10" s="95"/>
      <c r="F10" s="94"/>
      <c r="G10" s="92">
        <v>30.72</v>
      </c>
      <c r="H10" s="93" t="s">
        <v>25</v>
      </c>
      <c r="I10" s="93">
        <v>1255</v>
      </c>
      <c r="J10" s="116">
        <f>G10/I10*10000</f>
        <v>244.780876494024</v>
      </c>
    </row>
    <row r="11" s="61" customFormat="1" ht="30" customHeight="1" spans="1:10">
      <c r="A11" s="89">
        <v>1.6</v>
      </c>
      <c r="B11" s="90" t="s">
        <v>26</v>
      </c>
      <c r="C11" s="91">
        <f t="shared" si="0"/>
        <v>2.504</v>
      </c>
      <c r="D11" s="94"/>
      <c r="E11" s="95"/>
      <c r="F11" s="94"/>
      <c r="G11" s="92">
        <f t="shared" ref="G11:G16" si="1">I11*J11/10000</f>
        <v>2.504</v>
      </c>
      <c r="H11" s="93" t="s">
        <v>21</v>
      </c>
      <c r="I11" s="93">
        <v>313</v>
      </c>
      <c r="J11" s="93">
        <v>80</v>
      </c>
    </row>
    <row r="12" s="61" customFormat="1" ht="30" customHeight="1" spans="1:10">
      <c r="A12" s="89">
        <v>1.7</v>
      </c>
      <c r="B12" s="96" t="s">
        <v>27</v>
      </c>
      <c r="C12" s="91">
        <f t="shared" si="0"/>
        <v>4.88</v>
      </c>
      <c r="D12" s="94"/>
      <c r="E12" s="95"/>
      <c r="F12" s="94"/>
      <c r="G12" s="92">
        <f t="shared" si="1"/>
        <v>4.88</v>
      </c>
      <c r="H12" s="93" t="s">
        <v>23</v>
      </c>
      <c r="I12" s="93">
        <v>244</v>
      </c>
      <c r="J12" s="116">
        <v>200</v>
      </c>
    </row>
    <row r="13" s="61" customFormat="1" ht="30" customHeight="1" spans="1:10">
      <c r="A13" s="89">
        <v>1.8</v>
      </c>
      <c r="B13" s="96" t="s">
        <v>28</v>
      </c>
      <c r="C13" s="91">
        <f t="shared" si="0"/>
        <v>0.29</v>
      </c>
      <c r="D13" s="94"/>
      <c r="E13" s="95"/>
      <c r="F13" s="94"/>
      <c r="G13" s="92">
        <v>0.29</v>
      </c>
      <c r="H13" s="93" t="s">
        <v>23</v>
      </c>
      <c r="I13" s="93">
        <v>593</v>
      </c>
      <c r="J13" s="116">
        <f>G13/I13*10000</f>
        <v>4.89038785834739</v>
      </c>
    </row>
    <row r="14" s="61" customFormat="1" ht="30" customHeight="1" spans="1:10">
      <c r="A14" s="89">
        <v>1.9</v>
      </c>
      <c r="B14" s="96" t="s">
        <v>29</v>
      </c>
      <c r="C14" s="91">
        <f t="shared" si="0"/>
        <v>9.56</v>
      </c>
      <c r="D14" s="94"/>
      <c r="E14" s="95"/>
      <c r="F14" s="94"/>
      <c r="G14" s="92">
        <v>9.56</v>
      </c>
      <c r="H14" s="93" t="s">
        <v>25</v>
      </c>
      <c r="I14" s="93">
        <f>1211+381.5</f>
        <v>1592.5</v>
      </c>
      <c r="J14" s="116">
        <f>G14/I14*10000</f>
        <v>60.0313971742543</v>
      </c>
    </row>
    <row r="15" s="61" customFormat="1" ht="30" customHeight="1" spans="1:10">
      <c r="A15" s="93">
        <v>1.1</v>
      </c>
      <c r="B15" s="96" t="s">
        <v>30</v>
      </c>
      <c r="C15" s="91">
        <f t="shared" si="0"/>
        <v>0.53</v>
      </c>
      <c r="D15" s="94"/>
      <c r="E15" s="95"/>
      <c r="F15" s="94"/>
      <c r="G15" s="92">
        <v>0.53</v>
      </c>
      <c r="H15" s="93" t="s">
        <v>25</v>
      </c>
      <c r="I15" s="93">
        <v>178</v>
      </c>
      <c r="J15" s="116">
        <f>G15/I15*10000</f>
        <v>29.7752808988764</v>
      </c>
    </row>
    <row r="16" s="61" customFormat="1" ht="30" customHeight="1" spans="1:10">
      <c r="A16" s="93">
        <v>1.11</v>
      </c>
      <c r="B16" s="96" t="s">
        <v>31</v>
      </c>
      <c r="C16" s="91">
        <f t="shared" si="0"/>
        <v>2.4</v>
      </c>
      <c r="D16" s="94"/>
      <c r="E16" s="95"/>
      <c r="F16" s="94"/>
      <c r="G16" s="92">
        <f t="shared" si="1"/>
        <v>2.4</v>
      </c>
      <c r="H16" s="93" t="s">
        <v>32</v>
      </c>
      <c r="I16" s="93">
        <v>6</v>
      </c>
      <c r="J16" s="116">
        <v>4000</v>
      </c>
    </row>
    <row r="17" s="61" customFormat="1" ht="30" customHeight="1" spans="1:10">
      <c r="A17" s="93"/>
      <c r="B17" s="96" t="s">
        <v>33</v>
      </c>
      <c r="C17" s="91">
        <f>SUM(C6:C16)</f>
        <v>154.024</v>
      </c>
      <c r="D17" s="94"/>
      <c r="E17" s="95"/>
      <c r="F17" s="94"/>
      <c r="G17" s="92">
        <f>SUM(G6:G16)</f>
        <v>154.024</v>
      </c>
      <c r="H17" s="93" t="s">
        <v>15</v>
      </c>
      <c r="I17" s="93"/>
      <c r="J17" s="116"/>
    </row>
    <row r="18" s="60" customFormat="1" ht="30" customHeight="1" spans="1:10">
      <c r="A18" s="81">
        <v>2</v>
      </c>
      <c r="B18" s="85" t="s">
        <v>34</v>
      </c>
      <c r="C18" s="86">
        <f>C24</f>
        <v>26.68115</v>
      </c>
      <c r="D18" s="83"/>
      <c r="E18" s="87"/>
      <c r="F18" s="83"/>
      <c r="G18" s="88">
        <f>G24</f>
        <v>26.68115</v>
      </c>
      <c r="H18" s="84"/>
      <c r="I18" s="84"/>
      <c r="J18" s="117"/>
    </row>
    <row r="19" s="61" customFormat="1" ht="30" customHeight="1" spans="1:10">
      <c r="A19" s="89">
        <v>2.1</v>
      </c>
      <c r="B19" s="96" t="s">
        <v>35</v>
      </c>
      <c r="C19" s="91">
        <f>G19</f>
        <v>8.53115</v>
      </c>
      <c r="D19" s="94"/>
      <c r="E19" s="95"/>
      <c r="F19" s="94"/>
      <c r="G19" s="92">
        <f>I19*J19/10000</f>
        <v>8.53115</v>
      </c>
      <c r="H19" s="93" t="s">
        <v>18</v>
      </c>
      <c r="I19" s="93">
        <v>17.59</v>
      </c>
      <c r="J19" s="116">
        <v>4850</v>
      </c>
    </row>
    <row r="20" s="61" customFormat="1" ht="30" customHeight="1" spans="1:10">
      <c r="A20" s="89">
        <v>2.2</v>
      </c>
      <c r="B20" s="96" t="s">
        <v>36</v>
      </c>
      <c r="C20" s="91">
        <f>G20</f>
        <v>4.15</v>
      </c>
      <c r="D20" s="94"/>
      <c r="E20" s="95"/>
      <c r="F20" s="94"/>
      <c r="G20" s="92">
        <f>I20*J20/10000</f>
        <v>4.15</v>
      </c>
      <c r="H20" s="93" t="s">
        <v>18</v>
      </c>
      <c r="I20" s="93">
        <v>10</v>
      </c>
      <c r="J20" s="116">
        <v>4150</v>
      </c>
    </row>
    <row r="21" s="61" customFormat="1" ht="30" customHeight="1" spans="1:10">
      <c r="A21" s="89">
        <v>2.3</v>
      </c>
      <c r="B21" s="96" t="s">
        <v>37</v>
      </c>
      <c r="C21" s="91">
        <f>G21</f>
        <v>4.2</v>
      </c>
      <c r="D21" s="94"/>
      <c r="E21" s="95"/>
      <c r="F21" s="94"/>
      <c r="G21" s="92">
        <f>I21*J21/10000</f>
        <v>4.2</v>
      </c>
      <c r="H21" s="93" t="s">
        <v>18</v>
      </c>
      <c r="I21" s="93">
        <v>10</v>
      </c>
      <c r="J21" s="116">
        <v>4200</v>
      </c>
    </row>
    <row r="22" s="61" customFormat="1" ht="30" customHeight="1" spans="1:10">
      <c r="A22" s="89">
        <v>2.4</v>
      </c>
      <c r="B22" s="96" t="s">
        <v>38</v>
      </c>
      <c r="C22" s="91">
        <f>G22</f>
        <v>8</v>
      </c>
      <c r="D22" s="94"/>
      <c r="E22" s="95"/>
      <c r="F22" s="94"/>
      <c r="G22" s="92">
        <f>I22*J22/10000</f>
        <v>8</v>
      </c>
      <c r="H22" s="93" t="s">
        <v>39</v>
      </c>
      <c r="I22" s="93">
        <v>1</v>
      </c>
      <c r="J22" s="116">
        <v>80000</v>
      </c>
    </row>
    <row r="23" s="61" customFormat="1" ht="30" customHeight="1" spans="1:10">
      <c r="A23" s="89">
        <v>2.5</v>
      </c>
      <c r="B23" s="96" t="s">
        <v>40</v>
      </c>
      <c r="C23" s="91">
        <f>G23</f>
        <v>1.8</v>
      </c>
      <c r="D23" s="94"/>
      <c r="E23" s="95"/>
      <c r="F23" s="94"/>
      <c r="G23" s="92">
        <f>I23*J23/10000</f>
        <v>1.8</v>
      </c>
      <c r="H23" s="93" t="s">
        <v>39</v>
      </c>
      <c r="I23" s="93">
        <v>1</v>
      </c>
      <c r="J23" s="116">
        <v>18000</v>
      </c>
    </row>
    <row r="24" s="61" customFormat="1" ht="30" customHeight="1" spans="1:10">
      <c r="A24" s="93"/>
      <c r="B24" s="96" t="s">
        <v>33</v>
      </c>
      <c r="C24" s="91">
        <f>SUM(C19:C23)</f>
        <v>26.68115</v>
      </c>
      <c r="D24" s="94"/>
      <c r="E24" s="95"/>
      <c r="F24" s="94"/>
      <c r="G24" s="92">
        <f>SUM(G19:G23)</f>
        <v>26.68115</v>
      </c>
      <c r="H24" s="93" t="s">
        <v>15</v>
      </c>
      <c r="I24" s="93"/>
      <c r="J24" s="116"/>
    </row>
    <row r="25" s="61" customFormat="1" ht="30" customHeight="1" spans="1:10">
      <c r="A25" s="81">
        <v>3</v>
      </c>
      <c r="B25" s="97" t="s">
        <v>88</v>
      </c>
      <c r="C25" s="86">
        <f>C33</f>
        <v>43.59</v>
      </c>
      <c r="D25" s="86"/>
      <c r="E25" s="86"/>
      <c r="F25" s="83"/>
      <c r="G25" s="88">
        <f>C25</f>
        <v>43.59</v>
      </c>
      <c r="H25" s="84" t="s">
        <v>15</v>
      </c>
      <c r="I25" s="84"/>
      <c r="J25" s="116"/>
    </row>
    <row r="26" s="61" customFormat="1" ht="30" customHeight="1" spans="1:10">
      <c r="A26" s="89">
        <v>3.1</v>
      </c>
      <c r="B26" s="96" t="s">
        <v>42</v>
      </c>
      <c r="C26" s="91">
        <f t="shared" ref="C26:C32" si="2">G26</f>
        <v>0.98</v>
      </c>
      <c r="D26" s="94"/>
      <c r="E26" s="95"/>
      <c r="F26" s="94"/>
      <c r="G26" s="92">
        <v>0.98</v>
      </c>
      <c r="H26" s="93" t="s">
        <v>23</v>
      </c>
      <c r="I26" s="93">
        <v>15</v>
      </c>
      <c r="J26" s="116">
        <f t="shared" ref="J26:J32" si="3">G26/I26*10000</f>
        <v>653.333333333333</v>
      </c>
    </row>
    <row r="27" s="61" customFormat="1" ht="30" customHeight="1" spans="1:10">
      <c r="A27" s="89">
        <v>3.2</v>
      </c>
      <c r="B27" s="96" t="s">
        <v>44</v>
      </c>
      <c r="C27" s="91">
        <f t="shared" si="2"/>
        <v>8.11</v>
      </c>
      <c r="D27" s="94"/>
      <c r="E27" s="95"/>
      <c r="F27" s="94"/>
      <c r="G27" s="92">
        <v>8.11</v>
      </c>
      <c r="H27" s="93" t="s">
        <v>23</v>
      </c>
      <c r="I27" s="93">
        <v>75</v>
      </c>
      <c r="J27" s="116">
        <f t="shared" si="3"/>
        <v>1081.33333333333</v>
      </c>
    </row>
    <row r="28" s="61" customFormat="1" ht="30" customHeight="1" spans="1:10">
      <c r="A28" s="89">
        <v>3.3</v>
      </c>
      <c r="B28" s="96" t="s">
        <v>45</v>
      </c>
      <c r="C28" s="91">
        <f t="shared" si="2"/>
        <v>27.4</v>
      </c>
      <c r="D28" s="94"/>
      <c r="E28" s="95"/>
      <c r="F28" s="94"/>
      <c r="G28" s="92">
        <v>27.4</v>
      </c>
      <c r="H28" s="93" t="s">
        <v>23</v>
      </c>
      <c r="I28" s="93">
        <v>320</v>
      </c>
      <c r="J28" s="116">
        <f t="shared" si="3"/>
        <v>856.25</v>
      </c>
    </row>
    <row r="29" s="61" customFormat="1" ht="30" customHeight="1" spans="1:10">
      <c r="A29" s="89">
        <v>3.4</v>
      </c>
      <c r="B29" s="90" t="s">
        <v>89</v>
      </c>
      <c r="C29" s="91">
        <f t="shared" si="2"/>
        <v>3.55</v>
      </c>
      <c r="D29" s="91"/>
      <c r="E29" s="91"/>
      <c r="F29" s="94"/>
      <c r="G29" s="92">
        <v>3.55</v>
      </c>
      <c r="H29" s="93" t="s">
        <v>39</v>
      </c>
      <c r="I29" s="93">
        <v>8</v>
      </c>
      <c r="J29" s="93">
        <f t="shared" si="3"/>
        <v>4437.5</v>
      </c>
    </row>
    <row r="30" s="61" customFormat="1" ht="30" customHeight="1" spans="1:10">
      <c r="A30" s="89">
        <v>3.5</v>
      </c>
      <c r="B30" s="90" t="s">
        <v>90</v>
      </c>
      <c r="C30" s="91">
        <f t="shared" si="2"/>
        <v>0.93</v>
      </c>
      <c r="D30" s="91"/>
      <c r="E30" s="91"/>
      <c r="F30" s="94"/>
      <c r="G30" s="92">
        <v>0.93</v>
      </c>
      <c r="H30" s="93" t="s">
        <v>39</v>
      </c>
      <c r="I30" s="93">
        <v>2</v>
      </c>
      <c r="J30" s="93">
        <f t="shared" si="3"/>
        <v>4650</v>
      </c>
    </row>
    <row r="31" s="61" customFormat="1" ht="30" customHeight="1" spans="1:10">
      <c r="A31" s="89">
        <v>3.6</v>
      </c>
      <c r="B31" s="90" t="s">
        <v>48</v>
      </c>
      <c r="C31" s="91">
        <f t="shared" si="2"/>
        <v>1.74</v>
      </c>
      <c r="D31" s="91"/>
      <c r="E31" s="91"/>
      <c r="F31" s="94"/>
      <c r="G31" s="92">
        <v>1.74</v>
      </c>
      <c r="H31" s="93" t="s">
        <v>39</v>
      </c>
      <c r="I31" s="93">
        <v>2</v>
      </c>
      <c r="J31" s="93">
        <f t="shared" si="3"/>
        <v>8700</v>
      </c>
    </row>
    <row r="32" s="61" customFormat="1" ht="30" customHeight="1" spans="1:10">
      <c r="A32" s="89">
        <v>3.7</v>
      </c>
      <c r="B32" s="90" t="s">
        <v>49</v>
      </c>
      <c r="C32" s="91">
        <f t="shared" si="2"/>
        <v>0.88</v>
      </c>
      <c r="D32" s="94"/>
      <c r="E32" s="95"/>
      <c r="F32" s="94"/>
      <c r="G32" s="92">
        <v>0.88</v>
      </c>
      <c r="H32" s="93" t="s">
        <v>50</v>
      </c>
      <c r="I32" s="93">
        <v>6</v>
      </c>
      <c r="J32" s="93">
        <f t="shared" si="3"/>
        <v>1466.66666666667</v>
      </c>
    </row>
    <row r="33" s="61" customFormat="1" ht="30" customHeight="1" spans="1:10">
      <c r="A33" s="93"/>
      <c r="B33" s="96" t="s">
        <v>33</v>
      </c>
      <c r="C33" s="91">
        <f>SUM(C26:C32)</f>
        <v>43.59</v>
      </c>
      <c r="D33" s="94"/>
      <c r="E33" s="95"/>
      <c r="F33" s="94"/>
      <c r="G33" s="92">
        <f>SUM(G26:G32)</f>
        <v>43.59</v>
      </c>
      <c r="H33" s="93" t="s">
        <v>15</v>
      </c>
      <c r="I33" s="93"/>
      <c r="J33" s="116"/>
    </row>
    <row r="34" s="61" customFormat="1" ht="30" customHeight="1" spans="1:10">
      <c r="A34" s="81">
        <v>4</v>
      </c>
      <c r="B34" s="97" t="s">
        <v>91</v>
      </c>
      <c r="C34" s="86">
        <f>C38</f>
        <v>21.84</v>
      </c>
      <c r="D34" s="86"/>
      <c r="E34" s="86"/>
      <c r="F34" s="83"/>
      <c r="G34" s="88">
        <f>C34</f>
        <v>21.84</v>
      </c>
      <c r="H34" s="84" t="s">
        <v>15</v>
      </c>
      <c r="I34" s="84"/>
      <c r="J34" s="116"/>
    </row>
    <row r="35" s="61" customFormat="1" ht="30" customHeight="1" spans="1:11">
      <c r="A35" s="89">
        <v>4.1</v>
      </c>
      <c r="B35" s="96" t="s">
        <v>45</v>
      </c>
      <c r="C35" s="91">
        <f>G35</f>
        <v>4.22</v>
      </c>
      <c r="D35" s="94"/>
      <c r="E35" s="95"/>
      <c r="F35" s="94"/>
      <c r="G35" s="92">
        <v>4.22</v>
      </c>
      <c r="H35" s="93" t="s">
        <v>23</v>
      </c>
      <c r="I35" s="93">
        <v>35</v>
      </c>
      <c r="J35" s="116">
        <f>G35/I35*10000</f>
        <v>1205.71428571429</v>
      </c>
      <c r="K35" s="62"/>
    </row>
    <row r="36" s="61" customFormat="1" ht="30" customHeight="1" spans="1:11">
      <c r="A36" s="89">
        <v>4.2</v>
      </c>
      <c r="B36" s="96" t="s">
        <v>86</v>
      </c>
      <c r="C36" s="91">
        <f>G36</f>
        <v>15.92</v>
      </c>
      <c r="D36" s="94"/>
      <c r="E36" s="95"/>
      <c r="F36" s="94"/>
      <c r="G36" s="92">
        <v>15.92</v>
      </c>
      <c r="H36" s="93" t="s">
        <v>23</v>
      </c>
      <c r="I36" s="93">
        <v>90</v>
      </c>
      <c r="J36" s="116">
        <f>G36/I36*10000</f>
        <v>1768.88888888889</v>
      </c>
      <c r="K36" s="62"/>
    </row>
    <row r="37" s="61" customFormat="1" ht="30" customHeight="1" spans="1:10">
      <c r="A37" s="89">
        <v>4.3</v>
      </c>
      <c r="B37" s="90" t="s">
        <v>92</v>
      </c>
      <c r="C37" s="91">
        <f>G37</f>
        <v>1.7</v>
      </c>
      <c r="D37" s="91"/>
      <c r="E37" s="91"/>
      <c r="F37" s="94"/>
      <c r="G37" s="92">
        <v>1.7</v>
      </c>
      <c r="H37" s="93" t="s">
        <v>39</v>
      </c>
      <c r="I37" s="93">
        <v>4</v>
      </c>
      <c r="J37" s="93">
        <f>G37/I37*10000</f>
        <v>4250</v>
      </c>
    </row>
    <row r="38" s="61" customFormat="1" ht="30" customHeight="1" spans="1:10">
      <c r="A38" s="93"/>
      <c r="B38" s="96" t="s">
        <v>33</v>
      </c>
      <c r="C38" s="91">
        <f>SUM(C35:C37)</f>
        <v>21.84</v>
      </c>
      <c r="D38" s="91"/>
      <c r="E38" s="91"/>
      <c r="F38" s="94"/>
      <c r="G38" s="92">
        <f>SUM(G35:G37)</f>
        <v>21.84</v>
      </c>
      <c r="H38" s="93" t="s">
        <v>15</v>
      </c>
      <c r="I38" s="93"/>
      <c r="J38" s="116"/>
    </row>
    <row r="39" s="61" customFormat="1" ht="30" customHeight="1" spans="1:10">
      <c r="A39" s="81">
        <v>5</v>
      </c>
      <c r="B39" s="97" t="s">
        <v>55</v>
      </c>
      <c r="C39" s="86">
        <f>C45</f>
        <v>11.04</v>
      </c>
      <c r="D39" s="86">
        <f>D45</f>
        <v>0</v>
      </c>
      <c r="E39" s="86">
        <f>E45</f>
        <v>1.66</v>
      </c>
      <c r="F39" s="83"/>
      <c r="G39" s="88">
        <f>C39+D39+E39</f>
        <v>12.7</v>
      </c>
      <c r="H39" s="84" t="s">
        <v>15</v>
      </c>
      <c r="I39" s="84"/>
      <c r="J39" s="116"/>
    </row>
    <row r="40" s="62" customFormat="1" ht="30" customHeight="1" spans="1:10">
      <c r="A40" s="89">
        <v>5.1</v>
      </c>
      <c r="B40" s="96" t="s">
        <v>56</v>
      </c>
      <c r="C40" s="91">
        <v>0.13</v>
      </c>
      <c r="D40" s="94"/>
      <c r="E40" s="95">
        <v>0.2</v>
      </c>
      <c r="F40" s="94"/>
      <c r="G40" s="92">
        <f>C40+D40+E40</f>
        <v>0.33</v>
      </c>
      <c r="H40" s="93" t="s">
        <v>23</v>
      </c>
      <c r="I40" s="93">
        <v>5</v>
      </c>
      <c r="J40" s="116">
        <f>G40/I40*10000</f>
        <v>660</v>
      </c>
    </row>
    <row r="41" s="61" customFormat="1" ht="30" customHeight="1" spans="1:10">
      <c r="A41" s="89">
        <v>5.2</v>
      </c>
      <c r="B41" s="96" t="s">
        <v>57</v>
      </c>
      <c r="C41" s="91">
        <v>6.57</v>
      </c>
      <c r="D41" s="94"/>
      <c r="E41" s="95">
        <v>1.46</v>
      </c>
      <c r="F41" s="94"/>
      <c r="G41" s="92">
        <f>C41+D41+E41</f>
        <v>8.03</v>
      </c>
      <c r="H41" s="93" t="s">
        <v>23</v>
      </c>
      <c r="I41" s="93">
        <v>350</v>
      </c>
      <c r="J41" s="116">
        <f>G41/I41*10000</f>
        <v>229.428571428571</v>
      </c>
    </row>
    <row r="42" s="61" customFormat="1" ht="30" customHeight="1" spans="1:10">
      <c r="A42" s="89">
        <v>5.3</v>
      </c>
      <c r="B42" s="90" t="s">
        <v>87</v>
      </c>
      <c r="C42" s="91">
        <f>G42</f>
        <v>1.6</v>
      </c>
      <c r="D42" s="91"/>
      <c r="E42" s="91"/>
      <c r="F42" s="94"/>
      <c r="G42" s="92">
        <v>1.6</v>
      </c>
      <c r="H42" s="93" t="s">
        <v>39</v>
      </c>
      <c r="I42" s="93">
        <v>3</v>
      </c>
      <c r="J42" s="93">
        <f>G42/I42*10000</f>
        <v>5333.33333333333</v>
      </c>
    </row>
    <row r="43" s="61" customFormat="1" ht="30" customHeight="1" spans="1:10">
      <c r="A43" s="89">
        <v>5.4</v>
      </c>
      <c r="B43" s="90" t="s">
        <v>93</v>
      </c>
      <c r="C43" s="91">
        <f>G43</f>
        <v>0.71</v>
      </c>
      <c r="D43" s="91"/>
      <c r="E43" s="91"/>
      <c r="F43" s="94"/>
      <c r="G43" s="92">
        <v>0.71</v>
      </c>
      <c r="H43" s="93" t="s">
        <v>39</v>
      </c>
      <c r="I43" s="93">
        <v>2</v>
      </c>
      <c r="J43" s="93">
        <f>G43/I43*10000</f>
        <v>3550</v>
      </c>
    </row>
    <row r="44" s="61" customFormat="1" ht="30" customHeight="1" spans="1:10">
      <c r="A44" s="89">
        <v>5.5</v>
      </c>
      <c r="B44" s="90" t="s">
        <v>60</v>
      </c>
      <c r="C44" s="91">
        <f>G44</f>
        <v>2.03</v>
      </c>
      <c r="D44" s="91"/>
      <c r="E44" s="91"/>
      <c r="F44" s="94"/>
      <c r="G44" s="92">
        <v>2.03</v>
      </c>
      <c r="H44" s="93" t="s">
        <v>15</v>
      </c>
      <c r="I44" s="93"/>
      <c r="J44" s="93"/>
    </row>
    <row r="45" s="61" customFormat="1" ht="30" customHeight="1" spans="1:10">
      <c r="A45" s="93"/>
      <c r="B45" s="96" t="s">
        <v>33</v>
      </c>
      <c r="C45" s="91">
        <f>SUM(C40:C44)</f>
        <v>11.04</v>
      </c>
      <c r="D45" s="91">
        <f>SUM(D40:D44)</f>
        <v>0</v>
      </c>
      <c r="E45" s="91">
        <f>SUM(E40:E44)</f>
        <v>1.66</v>
      </c>
      <c r="F45" s="94"/>
      <c r="G45" s="92">
        <f>SUM(G40:G44)</f>
        <v>12.7</v>
      </c>
      <c r="H45" s="93" t="s">
        <v>15</v>
      </c>
      <c r="I45" s="93"/>
      <c r="J45" s="116"/>
    </row>
    <row r="46" s="61" customFormat="1" ht="30" customHeight="1" spans="1:10">
      <c r="A46" s="81">
        <v>6</v>
      </c>
      <c r="B46" s="85" t="s">
        <v>61</v>
      </c>
      <c r="C46" s="86">
        <f>I46*J46/10000</f>
        <v>16.74</v>
      </c>
      <c r="D46" s="86"/>
      <c r="E46" s="86"/>
      <c r="F46" s="83"/>
      <c r="G46" s="88">
        <f>I46*J46/10000</f>
        <v>16.74</v>
      </c>
      <c r="H46" s="84" t="s">
        <v>62</v>
      </c>
      <c r="I46" s="84">
        <v>18</v>
      </c>
      <c r="J46" s="84">
        <v>9300</v>
      </c>
    </row>
    <row r="47" s="60" customFormat="1" ht="30" customHeight="1" spans="1:10">
      <c r="A47" s="81"/>
      <c r="B47" s="85"/>
      <c r="C47" s="86"/>
      <c r="D47" s="86"/>
      <c r="E47" s="86"/>
      <c r="F47" s="83"/>
      <c r="G47" s="88"/>
      <c r="H47" s="84"/>
      <c r="I47" s="84"/>
      <c r="J47" s="117"/>
    </row>
    <row r="48" s="60" customFormat="1" ht="29.1" customHeight="1" spans="1:19">
      <c r="A48" s="98" t="s">
        <v>63</v>
      </c>
      <c r="B48" s="82" t="s">
        <v>64</v>
      </c>
      <c r="C48" s="83">
        <f>C60</f>
        <v>46.3957456091667</v>
      </c>
      <c r="D48" s="83"/>
      <c r="E48" s="83"/>
      <c r="F48" s="83"/>
      <c r="G48" s="88">
        <f>C48</f>
        <v>46.3957456091667</v>
      </c>
      <c r="H48" s="84" t="s">
        <v>15</v>
      </c>
      <c r="I48" s="84"/>
      <c r="J48" s="83"/>
      <c r="M48" s="61"/>
      <c r="N48" s="61"/>
      <c r="O48" s="61"/>
      <c r="P48" s="61"/>
      <c r="Q48" s="61"/>
      <c r="R48" s="61"/>
      <c r="S48" s="61"/>
    </row>
    <row r="49" s="61" customFormat="1" ht="30" customHeight="1" spans="1:13">
      <c r="A49" s="99">
        <v>1</v>
      </c>
      <c r="B49" s="100" t="s">
        <v>65</v>
      </c>
      <c r="C49" s="94">
        <f t="shared" ref="C49:C59" si="4">G49</f>
        <v>4.546989975</v>
      </c>
      <c r="D49" s="94"/>
      <c r="E49" s="94"/>
      <c r="F49" s="94"/>
      <c r="G49" s="92">
        <f>I49*0.033*0.5</f>
        <v>4.546989975</v>
      </c>
      <c r="H49" s="93" t="s">
        <v>15</v>
      </c>
      <c r="I49" s="93">
        <f>G4</f>
        <v>275.57515</v>
      </c>
      <c r="J49" s="118">
        <f>G49/I49</f>
        <v>0.0165</v>
      </c>
      <c r="L49" s="60"/>
      <c r="M49" s="60"/>
    </row>
    <row r="50" s="60" customFormat="1" ht="30" customHeight="1" spans="1:21">
      <c r="A50" s="99">
        <v>2</v>
      </c>
      <c r="B50" s="100" t="s">
        <v>94</v>
      </c>
      <c r="C50" s="94">
        <f t="shared" si="4"/>
        <v>0.5924865725</v>
      </c>
      <c r="D50" s="94"/>
      <c r="E50" s="94"/>
      <c r="F50" s="94"/>
      <c r="G50" s="92">
        <f>I50*0.43%*0.5</f>
        <v>0.5924865725</v>
      </c>
      <c r="H50" s="93" t="s">
        <v>15</v>
      </c>
      <c r="I50" s="93">
        <f>I49</f>
        <v>275.57515</v>
      </c>
      <c r="J50" s="118">
        <f>G50/I50</f>
        <v>0.00215</v>
      </c>
      <c r="N50" s="61"/>
      <c r="O50" s="61"/>
      <c r="P50" s="61"/>
      <c r="Q50" s="61"/>
      <c r="R50" s="61"/>
      <c r="S50" s="61"/>
      <c r="T50" s="61"/>
      <c r="U50" s="61"/>
    </row>
    <row r="51" s="60" customFormat="1" ht="30" customHeight="1" spans="1:21">
      <c r="A51" s="99">
        <v>3</v>
      </c>
      <c r="B51" s="100" t="s">
        <v>67</v>
      </c>
      <c r="C51" s="94">
        <f t="shared" si="4"/>
        <v>1</v>
      </c>
      <c r="D51" s="94"/>
      <c r="E51" s="94"/>
      <c r="F51" s="94"/>
      <c r="G51" s="92">
        <v>1</v>
      </c>
      <c r="H51" s="93" t="s">
        <v>15</v>
      </c>
      <c r="I51" s="93">
        <f>I49</f>
        <v>275.57515</v>
      </c>
      <c r="J51" s="118">
        <f>G51/I51</f>
        <v>0.00362877422002673</v>
      </c>
      <c r="N51" s="61"/>
      <c r="O51" s="61"/>
      <c r="P51" s="61"/>
      <c r="Q51" s="61"/>
      <c r="R51" s="61"/>
      <c r="S51" s="61"/>
      <c r="T51" s="61"/>
      <c r="U51" s="61"/>
    </row>
    <row r="52" s="60" customFormat="1" ht="30" customHeight="1" spans="1:21">
      <c r="A52" s="99">
        <v>4</v>
      </c>
      <c r="B52" s="100" t="s">
        <v>68</v>
      </c>
      <c r="C52" s="94">
        <f t="shared" si="4"/>
        <v>0.413362725</v>
      </c>
      <c r="D52" s="94"/>
      <c r="E52" s="94"/>
      <c r="F52" s="94"/>
      <c r="G52" s="92">
        <f>I52*J52</f>
        <v>0.413362725</v>
      </c>
      <c r="H52" s="93" t="s">
        <v>15</v>
      </c>
      <c r="I52" s="93">
        <f>I49</f>
        <v>275.57515</v>
      </c>
      <c r="J52" s="118">
        <v>0.0015</v>
      </c>
      <c r="N52" s="61"/>
      <c r="O52" s="61"/>
      <c r="P52" s="61"/>
      <c r="Q52" s="61"/>
      <c r="R52" s="61"/>
      <c r="S52" s="61"/>
      <c r="T52" s="61"/>
      <c r="U52" s="61"/>
    </row>
    <row r="53" s="61" customFormat="1" ht="30" customHeight="1" spans="1:14">
      <c r="A53" s="99">
        <v>5</v>
      </c>
      <c r="B53" s="100" t="s">
        <v>69</v>
      </c>
      <c r="C53" s="94">
        <f t="shared" si="4"/>
        <v>6.80051756166667</v>
      </c>
      <c r="D53" s="94"/>
      <c r="E53" s="94"/>
      <c r="F53" s="94"/>
      <c r="G53" s="92">
        <f>((I53-200)*(20.9-9)/300+9)*0.5+G4*0.0056*0.5+0.03</f>
        <v>6.80051756166667</v>
      </c>
      <c r="H53" s="93" t="s">
        <v>15</v>
      </c>
      <c r="I53" s="93">
        <f>I49</f>
        <v>275.57515</v>
      </c>
      <c r="J53" s="118">
        <f t="shared" ref="J53:J58" si="5">G53/I53</f>
        <v>0.0246775428106151</v>
      </c>
      <c r="L53" s="60"/>
      <c r="M53" s="60"/>
      <c r="N53" s="119"/>
    </row>
    <row r="54" s="61" customFormat="1" ht="30" customHeight="1" spans="1:13">
      <c r="A54" s="99">
        <v>6</v>
      </c>
      <c r="B54" s="100" t="s">
        <v>70</v>
      </c>
      <c r="C54" s="94">
        <f t="shared" si="4"/>
        <v>0.413362725</v>
      </c>
      <c r="D54" s="94"/>
      <c r="E54" s="94"/>
      <c r="F54" s="94"/>
      <c r="G54" s="92">
        <f>I54*J54</f>
        <v>0.413362725</v>
      </c>
      <c r="H54" s="93" t="s">
        <v>15</v>
      </c>
      <c r="I54" s="93">
        <f>I49</f>
        <v>275.57515</v>
      </c>
      <c r="J54" s="118">
        <v>0.0015</v>
      </c>
      <c r="L54" s="60"/>
      <c r="M54" s="60"/>
    </row>
    <row r="55" s="61" customFormat="1" ht="30" customHeight="1" spans="1:14">
      <c r="A55" s="99">
        <v>7</v>
      </c>
      <c r="B55" s="101" t="s">
        <v>71</v>
      </c>
      <c r="C55" s="94">
        <f t="shared" si="4"/>
        <v>2.4</v>
      </c>
      <c r="D55" s="94"/>
      <c r="E55" s="94"/>
      <c r="F55" s="94"/>
      <c r="G55" s="92">
        <v>2.4</v>
      </c>
      <c r="H55" s="93" t="s">
        <v>15</v>
      </c>
      <c r="I55" s="93">
        <f>I49</f>
        <v>275.57515</v>
      </c>
      <c r="J55" s="118">
        <f t="shared" si="5"/>
        <v>0.00870905812806416</v>
      </c>
      <c r="L55" s="60"/>
      <c r="M55" s="60"/>
      <c r="N55" s="119"/>
    </row>
    <row r="56" s="61" customFormat="1" ht="30" customHeight="1" spans="1:13">
      <c r="A56" s="99">
        <v>8</v>
      </c>
      <c r="B56" s="101" t="s">
        <v>72</v>
      </c>
      <c r="C56" s="94">
        <f t="shared" si="4"/>
        <v>2</v>
      </c>
      <c r="D56" s="94"/>
      <c r="E56" s="94"/>
      <c r="F56" s="94"/>
      <c r="G56" s="92">
        <v>2</v>
      </c>
      <c r="H56" s="93" t="s">
        <v>15</v>
      </c>
      <c r="I56" s="93">
        <f>I49</f>
        <v>275.57515</v>
      </c>
      <c r="J56" s="118">
        <f t="shared" si="5"/>
        <v>0.00725754844005347</v>
      </c>
      <c r="L56" s="60"/>
      <c r="M56" s="60"/>
    </row>
    <row r="57" s="61" customFormat="1" ht="30" customHeight="1" spans="1:13">
      <c r="A57" s="99">
        <v>9</v>
      </c>
      <c r="B57" s="101" t="s">
        <v>73</v>
      </c>
      <c r="C57" s="94">
        <f t="shared" si="4"/>
        <v>1</v>
      </c>
      <c r="D57" s="94"/>
      <c r="E57" s="94"/>
      <c r="F57" s="94"/>
      <c r="G57" s="94">
        <v>1</v>
      </c>
      <c r="H57" s="93" t="s">
        <v>15</v>
      </c>
      <c r="I57" s="93">
        <f>I53</f>
        <v>275.57515</v>
      </c>
      <c r="J57" s="118">
        <f t="shared" si="5"/>
        <v>0.00362877422002673</v>
      </c>
      <c r="L57" s="60"/>
      <c r="M57" s="60"/>
    </row>
    <row r="58" s="61" customFormat="1" ht="30" customHeight="1" spans="1:13">
      <c r="A58" s="99">
        <v>10</v>
      </c>
      <c r="B58" s="101" t="s">
        <v>95</v>
      </c>
      <c r="C58" s="94">
        <f t="shared" si="4"/>
        <v>2.22902605</v>
      </c>
      <c r="D58" s="94"/>
      <c r="E58" s="94"/>
      <c r="F58" s="94"/>
      <c r="G58" s="94">
        <f>((I58-100)*0.7%+1)</f>
        <v>2.22902605</v>
      </c>
      <c r="H58" s="93" t="s">
        <v>15</v>
      </c>
      <c r="I58" s="93">
        <f>I57</f>
        <v>275.57515</v>
      </c>
      <c r="J58" s="118">
        <f t="shared" si="5"/>
        <v>0.00808863226600802</v>
      </c>
      <c r="L58" s="60"/>
      <c r="M58" s="60"/>
    </row>
    <row r="59" s="61" customFormat="1" ht="30" customHeight="1" spans="1:13">
      <c r="A59" s="99">
        <v>11</v>
      </c>
      <c r="B59" s="101" t="s">
        <v>75</v>
      </c>
      <c r="C59" s="94">
        <f t="shared" si="4"/>
        <v>25</v>
      </c>
      <c r="D59" s="94"/>
      <c r="E59" s="94"/>
      <c r="F59" s="94"/>
      <c r="G59" s="94">
        <v>25</v>
      </c>
      <c r="H59" s="101" t="s">
        <v>15</v>
      </c>
      <c r="I59" s="101"/>
      <c r="J59" s="101"/>
      <c r="L59" s="60"/>
      <c r="M59" s="60"/>
    </row>
    <row r="60" s="61" customFormat="1" ht="30" customHeight="1" spans="1:13">
      <c r="A60" s="102"/>
      <c r="B60" s="101" t="s">
        <v>33</v>
      </c>
      <c r="C60" s="94">
        <f>SUM(C49:C59)</f>
        <v>46.3957456091667</v>
      </c>
      <c r="D60" s="94"/>
      <c r="E60" s="94"/>
      <c r="F60" s="94"/>
      <c r="G60" s="94">
        <f>SUM(G49:G59)</f>
        <v>46.3957456091667</v>
      </c>
      <c r="H60" s="93" t="s">
        <v>15</v>
      </c>
      <c r="I60" s="102"/>
      <c r="J60" s="102"/>
      <c r="L60" s="60"/>
      <c r="M60" s="60"/>
    </row>
    <row r="61" s="63" customFormat="1" ht="30" customHeight="1" spans="1:19">
      <c r="A61" s="103" t="s">
        <v>76</v>
      </c>
      <c r="B61" s="82" t="s">
        <v>77</v>
      </c>
      <c r="C61" s="83">
        <f>G61</f>
        <v>16.0985447804583</v>
      </c>
      <c r="D61" s="83"/>
      <c r="E61" s="83"/>
      <c r="F61" s="83"/>
      <c r="G61" s="88">
        <f>I61*J61</f>
        <v>16.0985447804583</v>
      </c>
      <c r="H61" s="84" t="s">
        <v>15</v>
      </c>
      <c r="I61" s="120">
        <f>G4+G48</f>
        <v>321.970895609167</v>
      </c>
      <c r="J61" s="121">
        <v>0.05</v>
      </c>
      <c r="M61" s="61"/>
      <c r="N61" s="61"/>
      <c r="O61" s="61"/>
      <c r="P61" s="61"/>
      <c r="Q61" s="61"/>
      <c r="R61" s="61"/>
      <c r="S61" s="61"/>
    </row>
    <row r="62" s="64" customFormat="1" ht="30" customHeight="1" spans="1:19">
      <c r="A62" s="103" t="s">
        <v>78</v>
      </c>
      <c r="B62" s="82" t="s">
        <v>79</v>
      </c>
      <c r="C62" s="83">
        <f>C4</f>
        <v>273.91515</v>
      </c>
      <c r="D62" s="83">
        <f>D4</f>
        <v>0</v>
      </c>
      <c r="E62" s="83">
        <f>E4</f>
        <v>1.66</v>
      </c>
      <c r="F62" s="83">
        <f>G61+G48</f>
        <v>62.494290389625</v>
      </c>
      <c r="G62" s="83">
        <f>C62+D62+E62+F62</f>
        <v>338.069440389625</v>
      </c>
      <c r="H62" s="84" t="s">
        <v>15</v>
      </c>
      <c r="I62" s="84"/>
      <c r="J62" s="83"/>
      <c r="M62" s="61"/>
      <c r="N62" s="61"/>
      <c r="O62" s="61"/>
      <c r="P62" s="61"/>
      <c r="Q62" s="61"/>
      <c r="R62" s="61"/>
      <c r="S62" s="61"/>
    </row>
    <row r="63" s="65" customFormat="1" ht="30" customHeight="1" spans="1:19">
      <c r="A63" s="103" t="s">
        <v>80</v>
      </c>
      <c r="B63" s="105" t="s">
        <v>81</v>
      </c>
      <c r="C63" s="106">
        <f>C62/G62</f>
        <v>0.810233393720275</v>
      </c>
      <c r="D63" s="106">
        <f>D62/G62</f>
        <v>0</v>
      </c>
      <c r="E63" s="106">
        <f>E62/G62</f>
        <v>0.00491023382085896</v>
      </c>
      <c r="F63" s="107">
        <f>F62/G62</f>
        <v>0.184856372458866</v>
      </c>
      <c r="G63" s="106">
        <f>SUM(C63:F63)</f>
        <v>1</v>
      </c>
      <c r="H63" s="108"/>
      <c r="I63" s="120"/>
      <c r="J63" s="122"/>
      <c r="M63" s="61"/>
      <c r="N63" s="61"/>
      <c r="O63" s="61"/>
      <c r="P63" s="61"/>
      <c r="Q63" s="61"/>
      <c r="R63" s="61"/>
      <c r="S63" s="61"/>
    </row>
    <row r="64" ht="21.95" customHeight="1" spans="1:19">
      <c r="A64" s="109"/>
      <c r="B64" s="110"/>
      <c r="C64" s="110"/>
      <c r="D64" s="111"/>
      <c r="E64" s="112"/>
      <c r="F64" s="113"/>
      <c r="G64" s="113"/>
      <c r="H64" s="114"/>
      <c r="M64" s="61"/>
      <c r="N64" s="61"/>
      <c r="O64" s="61"/>
      <c r="P64" s="61"/>
      <c r="Q64" s="61"/>
      <c r="R64" s="61"/>
      <c r="S64" s="61"/>
    </row>
    <row r="65" ht="21.95" customHeight="1" spans="1:19">
      <c r="A65" s="109"/>
      <c r="B65" s="61"/>
      <c r="C65" s="61"/>
      <c r="D65" s="61"/>
      <c r="E65" s="61"/>
      <c r="F65" s="61"/>
      <c r="G65" s="61"/>
      <c r="H65" s="61"/>
      <c r="I65" s="61"/>
      <c r="M65" s="61"/>
      <c r="N65" s="61"/>
      <c r="O65" s="61"/>
      <c r="P65" s="61"/>
      <c r="Q65" s="61"/>
      <c r="R65" s="61"/>
      <c r="S65" s="61"/>
    </row>
    <row r="66" ht="21.95" customHeight="1" spans="1:8">
      <c r="A66" s="109"/>
      <c r="B66" s="110"/>
      <c r="C66" s="110"/>
      <c r="D66" s="111"/>
      <c r="E66" s="112"/>
      <c r="F66" s="115"/>
      <c r="G66" s="113"/>
      <c r="H66" s="114"/>
    </row>
    <row r="67" ht="21.95" customHeight="1" spans="1:8">
      <c r="A67" s="109"/>
      <c r="B67" s="110"/>
      <c r="C67" s="110"/>
      <c r="D67" s="111"/>
      <c r="E67" s="112"/>
      <c r="F67" s="115"/>
      <c r="G67" s="113"/>
      <c r="H67" s="114"/>
    </row>
    <row r="68" ht="21.95" customHeight="1" spans="1:8">
      <c r="A68" s="109"/>
      <c r="B68" s="110"/>
      <c r="C68" s="110"/>
      <c r="D68" s="111"/>
      <c r="E68" s="112"/>
      <c r="F68" s="115"/>
      <c r="G68" s="113"/>
      <c r="H68" s="114"/>
    </row>
    <row r="69" ht="21.95" customHeight="1" spans="1:8">
      <c r="A69" s="109"/>
      <c r="B69" s="110"/>
      <c r="C69" s="110"/>
      <c r="D69" s="111"/>
      <c r="E69" s="112"/>
      <c r="F69" s="115"/>
      <c r="G69" s="113"/>
      <c r="H69" s="114"/>
    </row>
    <row r="70" ht="21.95" customHeight="1" spans="1:8">
      <c r="A70" s="109"/>
      <c r="B70" s="110"/>
      <c r="C70" s="110"/>
      <c r="D70" s="111"/>
      <c r="E70" s="112"/>
      <c r="F70" s="115"/>
      <c r="G70" s="113"/>
      <c r="H70" s="114"/>
    </row>
    <row r="71" ht="21.95" customHeight="1" spans="1:8">
      <c r="A71" s="109"/>
      <c r="B71" s="110"/>
      <c r="C71" s="110"/>
      <c r="D71" s="111"/>
      <c r="E71" s="112"/>
      <c r="F71" s="115"/>
      <c r="G71" s="113"/>
      <c r="H71" s="114"/>
    </row>
    <row r="72" ht="21.95" customHeight="1" spans="1:8">
      <c r="A72" s="109"/>
      <c r="B72" s="110"/>
      <c r="C72" s="110"/>
      <c r="D72" s="111"/>
      <c r="E72" s="112"/>
      <c r="F72" s="115"/>
      <c r="G72" s="113"/>
      <c r="H72" s="114"/>
    </row>
    <row r="73" ht="21.95" customHeight="1" spans="1:8">
      <c r="A73" s="109"/>
      <c r="B73" s="110"/>
      <c r="C73" s="110"/>
      <c r="D73" s="111"/>
      <c r="E73" s="112"/>
      <c r="F73" s="115"/>
      <c r="G73" s="113"/>
      <c r="H73" s="114"/>
    </row>
    <row r="74" ht="21.95" customHeight="1" spans="1:8">
      <c r="A74" s="109"/>
      <c r="B74" s="110"/>
      <c r="C74" s="110"/>
      <c r="D74" s="111"/>
      <c r="E74" s="112"/>
      <c r="F74" s="115"/>
      <c r="G74" s="113"/>
      <c r="H74" s="114"/>
    </row>
    <row r="75" ht="21.95" customHeight="1" spans="1:8">
      <c r="A75" s="109"/>
      <c r="B75" s="110"/>
      <c r="C75" s="110"/>
      <c r="D75" s="111"/>
      <c r="E75" s="112"/>
      <c r="F75" s="115"/>
      <c r="G75" s="113"/>
      <c r="H75" s="114"/>
    </row>
    <row r="76" ht="21.95" customHeight="1" spans="1:8">
      <c r="A76" s="109"/>
      <c r="B76" s="110"/>
      <c r="C76" s="110"/>
      <c r="D76" s="111"/>
      <c r="E76" s="112"/>
      <c r="F76" s="115"/>
      <c r="G76" s="113"/>
      <c r="H76" s="114"/>
    </row>
    <row r="77" ht="21.95" customHeight="1" spans="1:8">
      <c r="A77" s="109"/>
      <c r="B77" s="110"/>
      <c r="C77" s="110"/>
      <c r="D77" s="111"/>
      <c r="E77" s="112"/>
      <c r="F77" s="115"/>
      <c r="G77" s="113"/>
      <c r="H77" s="114"/>
    </row>
    <row r="78" ht="21.95" customHeight="1" spans="1:8">
      <c r="A78" s="109"/>
      <c r="B78" s="110"/>
      <c r="C78" s="110"/>
      <c r="D78" s="111"/>
      <c r="E78" s="112"/>
      <c r="F78" s="115"/>
      <c r="G78" s="113"/>
      <c r="H78" s="114"/>
    </row>
    <row r="79" ht="21.95" customHeight="1" spans="1:8">
      <c r="A79" s="109"/>
      <c r="B79" s="110"/>
      <c r="C79" s="110"/>
      <c r="D79" s="111"/>
      <c r="E79" s="112"/>
      <c r="F79" s="115"/>
      <c r="G79" s="113"/>
      <c r="H79" s="114"/>
    </row>
    <row r="80" s="66" customFormat="1" ht="21.95" customHeight="1" spans="1:21">
      <c r="A80" s="109"/>
      <c r="B80" s="110"/>
      <c r="C80" s="110"/>
      <c r="D80" s="111"/>
      <c r="E80" s="112"/>
      <c r="F80" s="115"/>
      <c r="G80" s="113"/>
      <c r="H80" s="114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="66" customFormat="1" ht="21.95" customHeight="1" spans="1:21">
      <c r="A81" s="109"/>
      <c r="B81" s="110"/>
      <c r="C81" s="110"/>
      <c r="D81" s="111"/>
      <c r="E81" s="112"/>
      <c r="F81" s="115"/>
      <c r="G81" s="113"/>
      <c r="H81" s="114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="66" customFormat="1" ht="21.95" customHeight="1" spans="1:21">
      <c r="A82" s="109"/>
      <c r="B82" s="110"/>
      <c r="C82" s="110"/>
      <c r="D82" s="111"/>
      <c r="E82" s="112"/>
      <c r="F82" s="115"/>
      <c r="G82" s="113"/>
      <c r="H82" s="114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="66" customFormat="1" ht="21.95" customHeight="1" spans="1:21">
      <c r="A83" s="109"/>
      <c r="B83" s="110"/>
      <c r="C83" s="110"/>
      <c r="D83" s="111"/>
      <c r="E83" s="112"/>
      <c r="F83" s="115"/>
      <c r="G83" s="113"/>
      <c r="H83" s="114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="66" customFormat="1" ht="21.95" customHeight="1" spans="1:21">
      <c r="A84" s="109"/>
      <c r="B84" s="110"/>
      <c r="C84" s="110"/>
      <c r="D84" s="111"/>
      <c r="E84" s="112"/>
      <c r="F84" s="115"/>
      <c r="G84" s="113"/>
      <c r="H84" s="114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="66" customFormat="1" ht="21.95" customHeight="1" spans="1:21">
      <c r="A85" s="109"/>
      <c r="B85" s="110"/>
      <c r="C85" s="110"/>
      <c r="D85" s="111"/>
      <c r="E85" s="112"/>
      <c r="F85" s="115"/>
      <c r="G85" s="113"/>
      <c r="H85" s="114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="66" customFormat="1" ht="21.95" customHeight="1" spans="1:21">
      <c r="A86" s="109"/>
      <c r="B86" s="110"/>
      <c r="C86" s="110"/>
      <c r="D86" s="111"/>
      <c r="E86" s="112"/>
      <c r="F86" s="115"/>
      <c r="G86" s="113"/>
      <c r="H86" s="114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="66" customFormat="1" ht="21.95" customHeight="1" spans="1:21">
      <c r="A87" s="109"/>
      <c r="B87" s="110"/>
      <c r="C87" s="110"/>
      <c r="D87" s="111"/>
      <c r="E87" s="112"/>
      <c r="F87" s="115"/>
      <c r="G87" s="113"/>
      <c r="H87" s="114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="66" customFormat="1" ht="21.95" customHeight="1" spans="1:21">
      <c r="A88" s="109"/>
      <c r="B88" s="110"/>
      <c r="C88" s="110"/>
      <c r="D88" s="111"/>
      <c r="E88" s="112"/>
      <c r="F88" s="115"/>
      <c r="G88" s="113"/>
      <c r="H88" s="114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="66" customFormat="1" ht="21.95" customHeight="1" spans="1:21">
      <c r="A89" s="109"/>
      <c r="B89" s="110"/>
      <c r="C89" s="110"/>
      <c r="D89" s="111"/>
      <c r="E89" s="112"/>
      <c r="F89" s="115"/>
      <c r="G89" s="113"/>
      <c r="H89" s="114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="66" customFormat="1" ht="21.95" customHeight="1" spans="1:21">
      <c r="A90" s="109"/>
      <c r="B90" s="110"/>
      <c r="C90" s="110"/>
      <c r="D90" s="111"/>
      <c r="E90" s="112"/>
      <c r="F90" s="115"/>
      <c r="G90" s="113"/>
      <c r="H90" s="114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="66" customFormat="1" ht="21.95" customHeight="1" spans="1:21">
      <c r="A91" s="109"/>
      <c r="B91" s="110"/>
      <c r="C91" s="110"/>
      <c r="D91" s="111"/>
      <c r="E91" s="112"/>
      <c r="F91" s="115"/>
      <c r="G91" s="113"/>
      <c r="H91" s="11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="66" customFormat="1" ht="21.95" customHeight="1" spans="1:21">
      <c r="A92" s="109"/>
      <c r="B92" s="110"/>
      <c r="C92" s="110"/>
      <c r="D92" s="111"/>
      <c r="E92" s="112"/>
      <c r="F92" s="115"/>
      <c r="G92" s="113"/>
      <c r="H92" s="114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="66" customFormat="1" ht="21.95" customHeight="1" spans="1:21">
      <c r="A93" s="109"/>
      <c r="B93" s="110"/>
      <c r="C93" s="110"/>
      <c r="D93" s="111"/>
      <c r="E93" s="112"/>
      <c r="F93" s="115"/>
      <c r="G93" s="113"/>
      <c r="H93" s="114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="66" customFormat="1" ht="21.95" customHeight="1" spans="1:21">
      <c r="A94" s="109"/>
      <c r="B94" s="110"/>
      <c r="C94" s="110"/>
      <c r="D94" s="111"/>
      <c r="E94" s="112"/>
      <c r="F94" s="115"/>
      <c r="G94" s="113"/>
      <c r="H94" s="114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="66" customFormat="1" ht="21.95" customHeight="1" spans="1:21">
      <c r="A95" s="109"/>
      <c r="B95" s="110"/>
      <c r="C95" s="110"/>
      <c r="D95" s="111"/>
      <c r="E95" s="112"/>
      <c r="F95" s="115"/>
      <c r="G95" s="113"/>
      <c r="H95" s="114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="66" customFormat="1" ht="21.95" customHeight="1" spans="1:21">
      <c r="A96" s="109"/>
      <c r="B96" s="110"/>
      <c r="C96" s="110"/>
      <c r="D96" s="111"/>
      <c r="E96" s="112"/>
      <c r="F96" s="115"/>
      <c r="G96" s="113"/>
      <c r="H96" s="114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="66" customFormat="1" ht="21.95" customHeight="1" spans="1:21">
      <c r="A97" s="109"/>
      <c r="B97" s="110"/>
      <c r="C97" s="110"/>
      <c r="D97" s="111"/>
      <c r="E97" s="112"/>
      <c r="F97" s="115"/>
      <c r="G97" s="113"/>
      <c r="H97" s="114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="66" customFormat="1" ht="21.95" customHeight="1" spans="1:21">
      <c r="A98" s="109"/>
      <c r="B98" s="110"/>
      <c r="C98" s="110"/>
      <c r="D98" s="111"/>
      <c r="E98" s="112"/>
      <c r="F98" s="115"/>
      <c r="G98" s="113"/>
      <c r="H98" s="114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="66" customFormat="1" ht="21.95" customHeight="1" spans="1:21">
      <c r="A99" s="109"/>
      <c r="B99" s="110"/>
      <c r="C99" s="110"/>
      <c r="D99" s="111"/>
      <c r="E99" s="112"/>
      <c r="F99" s="115"/>
      <c r="G99" s="113"/>
      <c r="H99" s="114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="66" customFormat="1" ht="21.95" customHeight="1" spans="1:21">
      <c r="A100" s="109"/>
      <c r="B100" s="110"/>
      <c r="C100" s="110"/>
      <c r="D100" s="111"/>
      <c r="E100" s="112"/>
      <c r="F100" s="115"/>
      <c r="G100" s="113"/>
      <c r="H100" s="114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="66" customFormat="1" ht="21.95" customHeight="1" spans="1:21">
      <c r="A101" s="67"/>
      <c r="D101" s="68"/>
      <c r="E101" s="69"/>
      <c r="F101" s="70"/>
      <c r="G101" s="71"/>
      <c r="H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="66" customFormat="1" ht="21.95" customHeight="1" spans="1:21">
      <c r="A102" s="67"/>
      <c r="D102" s="68"/>
      <c r="E102" s="69"/>
      <c r="F102" s="70"/>
      <c r="G102" s="71"/>
      <c r="H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="66" customFormat="1" ht="21.95" customHeight="1" spans="1:21">
      <c r="A103" s="67"/>
      <c r="D103" s="68"/>
      <c r="E103" s="69"/>
      <c r="F103" s="70"/>
      <c r="G103" s="71"/>
      <c r="H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="66" customFormat="1" ht="21.95" customHeight="1" spans="1:21">
      <c r="A104" s="67"/>
      <c r="D104" s="68"/>
      <c r="E104" s="69"/>
      <c r="F104" s="70"/>
      <c r="G104" s="71"/>
      <c r="H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="66" customFormat="1" ht="21.95" customHeight="1" spans="1:21">
      <c r="A105" s="67"/>
      <c r="D105" s="68"/>
      <c r="E105" s="69"/>
      <c r="F105" s="70"/>
      <c r="G105" s="71"/>
      <c r="H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="66" customFormat="1" ht="21.95" customHeight="1" spans="1:21">
      <c r="A106" s="67"/>
      <c r="D106" s="68"/>
      <c r="E106" s="69"/>
      <c r="F106" s="70"/>
      <c r="G106" s="71"/>
      <c r="H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="66" customFormat="1" ht="21.95" customHeight="1" spans="1:21">
      <c r="A107" s="67"/>
      <c r="D107" s="68"/>
      <c r="E107" s="69"/>
      <c r="F107" s="70"/>
      <c r="G107" s="71"/>
      <c r="H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="66" customFormat="1" ht="21.95" customHeight="1" spans="1:21">
      <c r="A108" s="67"/>
      <c r="D108" s="68"/>
      <c r="E108" s="69"/>
      <c r="F108" s="70"/>
      <c r="G108" s="71"/>
      <c r="H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="66" customFormat="1" ht="21.95" customHeight="1" spans="1:21">
      <c r="A109" s="67"/>
      <c r="D109" s="68"/>
      <c r="E109" s="69"/>
      <c r="F109" s="70"/>
      <c r="G109" s="71"/>
      <c r="H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="66" customFormat="1" ht="21.95" customHeight="1" spans="1:21">
      <c r="A110" s="67"/>
      <c r="D110" s="68"/>
      <c r="E110" s="69"/>
      <c r="F110" s="70"/>
      <c r="G110" s="71"/>
      <c r="H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="66" customFormat="1" ht="21.95" customHeight="1" spans="1:21">
      <c r="A111" s="67"/>
      <c r="D111" s="68"/>
      <c r="E111" s="69"/>
      <c r="F111" s="70"/>
      <c r="G111" s="71"/>
      <c r="H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="67" customFormat="1" ht="21.95" customHeight="1" spans="2:21">
      <c r="B112" s="66"/>
      <c r="C112" s="66"/>
      <c r="D112" s="68"/>
      <c r="E112" s="69"/>
      <c r="F112" s="70"/>
      <c r="G112" s="71"/>
      <c r="H112" s="72"/>
      <c r="I112" s="66"/>
      <c r="J112" s="66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="67" customFormat="1" ht="21.95" customHeight="1" spans="2:21">
      <c r="B113" s="66"/>
      <c r="C113" s="66"/>
      <c r="D113" s="68"/>
      <c r="E113" s="69"/>
      <c r="F113" s="70"/>
      <c r="G113" s="71"/>
      <c r="H113" s="72"/>
      <c r="I113" s="66"/>
      <c r="J113" s="66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="67" customFormat="1" ht="21.95" customHeight="1" spans="2:21">
      <c r="B114" s="66"/>
      <c r="C114" s="66"/>
      <c r="D114" s="68"/>
      <c r="E114" s="69"/>
      <c r="F114" s="70"/>
      <c r="G114" s="71"/>
      <c r="H114" s="72"/>
      <c r="I114" s="66"/>
      <c r="J114" s="66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="67" customFormat="1" ht="21.95" customHeight="1" spans="2:21">
      <c r="B115" s="66"/>
      <c r="C115" s="66"/>
      <c r="D115" s="68"/>
      <c r="E115" s="69"/>
      <c r="F115" s="70"/>
      <c r="G115" s="71"/>
      <c r="H115" s="72"/>
      <c r="I115" s="66"/>
      <c r="J115" s="66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="67" customFormat="1" ht="21.95" customHeight="1" spans="2:21">
      <c r="B116" s="66"/>
      <c r="C116" s="66"/>
      <c r="D116" s="68"/>
      <c r="E116" s="69"/>
      <c r="F116" s="70"/>
      <c r="G116" s="71"/>
      <c r="H116" s="72"/>
      <c r="I116" s="66"/>
      <c r="J116" s="66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="67" customFormat="1" ht="21.95" customHeight="1" spans="2:21">
      <c r="B117" s="66"/>
      <c r="C117" s="66"/>
      <c r="D117" s="68"/>
      <c r="E117" s="69"/>
      <c r="F117" s="70"/>
      <c r="G117" s="71"/>
      <c r="H117" s="72"/>
      <c r="I117" s="66"/>
      <c r="J117" s="66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="67" customFormat="1" ht="21.95" customHeight="1" spans="2:21">
      <c r="B118" s="66"/>
      <c r="C118" s="66"/>
      <c r="D118" s="68"/>
      <c r="E118" s="69"/>
      <c r="F118" s="70"/>
      <c r="G118" s="71"/>
      <c r="H118" s="72"/>
      <c r="I118" s="66"/>
      <c r="J118" s="66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="67" customFormat="1" ht="21.95" customHeight="1" spans="2:21">
      <c r="B119" s="66"/>
      <c r="C119" s="66"/>
      <c r="D119" s="68"/>
      <c r="E119" s="69"/>
      <c r="F119" s="70"/>
      <c r="G119" s="71"/>
      <c r="H119" s="72"/>
      <c r="I119" s="66"/>
      <c r="J119" s="66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="67" customFormat="1" ht="21.95" customHeight="1" spans="2:21">
      <c r="B120" s="66"/>
      <c r="C120" s="66"/>
      <c r="D120" s="68"/>
      <c r="E120" s="69"/>
      <c r="F120" s="70"/>
      <c r="G120" s="71"/>
      <c r="H120" s="72"/>
      <c r="I120" s="66"/>
      <c r="J120" s="66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="67" customFormat="1" ht="21.95" customHeight="1" spans="2:21">
      <c r="B121" s="66"/>
      <c r="C121" s="66"/>
      <c r="D121" s="68"/>
      <c r="E121" s="69"/>
      <c r="F121" s="70"/>
      <c r="G121" s="71"/>
      <c r="H121" s="72"/>
      <c r="I121" s="66"/>
      <c r="J121" s="66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="67" customFormat="1" ht="21.95" customHeight="1" spans="2:21">
      <c r="B122" s="66"/>
      <c r="C122" s="66"/>
      <c r="D122" s="68"/>
      <c r="E122" s="69"/>
      <c r="F122" s="70"/>
      <c r="G122" s="71"/>
      <c r="H122" s="72"/>
      <c r="I122" s="66"/>
      <c r="J122" s="66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="67" customFormat="1" ht="21.95" customHeight="1" spans="2:21">
      <c r="B123" s="66"/>
      <c r="C123" s="66"/>
      <c r="D123" s="68"/>
      <c r="E123" s="69"/>
      <c r="F123" s="70"/>
      <c r="G123" s="71"/>
      <c r="H123" s="72"/>
      <c r="I123" s="66"/>
      <c r="J123" s="66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="67" customFormat="1" ht="21.95" customHeight="1" spans="2:21">
      <c r="B124" s="66"/>
      <c r="C124" s="66"/>
      <c r="D124" s="68"/>
      <c r="E124" s="69"/>
      <c r="F124" s="70"/>
      <c r="G124" s="71"/>
      <c r="H124" s="72"/>
      <c r="I124" s="66"/>
      <c r="J124" s="66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="67" customFormat="1" ht="21.95" customHeight="1" spans="2:21">
      <c r="B125" s="66"/>
      <c r="C125" s="66"/>
      <c r="D125" s="68"/>
      <c r="E125" s="69"/>
      <c r="F125" s="70"/>
      <c r="G125" s="71"/>
      <c r="H125" s="72"/>
      <c r="I125" s="66"/>
      <c r="J125" s="66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="67" customFormat="1" ht="21.95" customHeight="1" spans="2:21">
      <c r="B126" s="66"/>
      <c r="C126" s="66"/>
      <c r="D126" s="68"/>
      <c r="E126" s="69"/>
      <c r="F126" s="70"/>
      <c r="G126" s="71"/>
      <c r="H126" s="72"/>
      <c r="I126" s="66"/>
      <c r="J126" s="66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="67" customFormat="1" ht="21.95" customHeight="1" spans="2:21">
      <c r="B127" s="66"/>
      <c r="C127" s="66"/>
      <c r="D127" s="68"/>
      <c r="E127" s="69"/>
      <c r="F127" s="70"/>
      <c r="G127" s="71"/>
      <c r="H127" s="72"/>
      <c r="I127" s="66"/>
      <c r="J127" s="66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="67" customFormat="1" ht="21.95" customHeight="1" spans="2:21">
      <c r="B128" s="66"/>
      <c r="C128" s="66"/>
      <c r="D128" s="68"/>
      <c r="E128" s="69"/>
      <c r="F128" s="70"/>
      <c r="G128" s="71"/>
      <c r="H128" s="72"/>
      <c r="I128" s="66"/>
      <c r="J128" s="66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="67" customFormat="1" ht="21.95" customHeight="1" spans="2:21">
      <c r="B129" s="66"/>
      <c r="C129" s="66"/>
      <c r="D129" s="68"/>
      <c r="E129" s="69"/>
      <c r="F129" s="70"/>
      <c r="G129" s="71"/>
      <c r="H129" s="72"/>
      <c r="I129" s="66"/>
      <c r="J129" s="66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="67" customFormat="1" ht="21.95" customHeight="1" spans="2:21">
      <c r="B130" s="66"/>
      <c r="C130" s="66"/>
      <c r="D130" s="68"/>
      <c r="E130" s="69"/>
      <c r="F130" s="70"/>
      <c r="G130" s="71"/>
      <c r="H130" s="72"/>
      <c r="I130" s="66"/>
      <c r="J130" s="66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="67" customFormat="1" ht="21.95" customHeight="1" spans="2:21">
      <c r="B131" s="66"/>
      <c r="C131" s="66"/>
      <c r="D131" s="68"/>
      <c r="E131" s="69"/>
      <c r="F131" s="70"/>
      <c r="G131" s="71"/>
      <c r="H131" s="72"/>
      <c r="I131" s="66"/>
      <c r="J131" s="66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="67" customFormat="1" ht="21.95" customHeight="1" spans="2:21">
      <c r="B132" s="66"/>
      <c r="C132" s="66"/>
      <c r="D132" s="68"/>
      <c r="E132" s="69"/>
      <c r="F132" s="70"/>
      <c r="G132" s="71"/>
      <c r="H132" s="72"/>
      <c r="I132" s="66"/>
      <c r="J132" s="66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="67" customFormat="1" ht="21.95" customHeight="1" spans="2:21">
      <c r="B133" s="66"/>
      <c r="C133" s="66"/>
      <c r="D133" s="68"/>
      <c r="E133" s="69"/>
      <c r="F133" s="70"/>
      <c r="G133" s="71"/>
      <c r="H133" s="72"/>
      <c r="I133" s="66"/>
      <c r="J133" s="66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="67" customFormat="1" ht="21.95" customHeight="1" spans="2:21">
      <c r="B134" s="66"/>
      <c r="C134" s="66"/>
      <c r="D134" s="68"/>
      <c r="E134" s="69"/>
      <c r="F134" s="70"/>
      <c r="G134" s="71"/>
      <c r="H134" s="72"/>
      <c r="I134" s="66"/>
      <c r="J134" s="66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="67" customFormat="1" ht="21.95" customHeight="1" spans="2:21">
      <c r="B135" s="66"/>
      <c r="C135" s="66"/>
      <c r="D135" s="68"/>
      <c r="E135" s="69"/>
      <c r="F135" s="70"/>
      <c r="G135" s="71"/>
      <c r="H135" s="72"/>
      <c r="I135" s="66"/>
      <c r="J135" s="66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="67" customFormat="1" ht="21.95" customHeight="1" spans="2:21">
      <c r="B136" s="66"/>
      <c r="C136" s="66"/>
      <c r="D136" s="68"/>
      <c r="E136" s="69"/>
      <c r="F136" s="70"/>
      <c r="G136" s="71"/>
      <c r="H136" s="72"/>
      <c r="I136" s="66"/>
      <c r="J136" s="66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="67" customFormat="1" ht="21.95" customHeight="1" spans="2:21">
      <c r="B137" s="66"/>
      <c r="C137" s="66"/>
      <c r="D137" s="68"/>
      <c r="E137" s="69"/>
      <c r="F137" s="70"/>
      <c r="G137" s="71"/>
      <c r="H137" s="72"/>
      <c r="I137" s="66"/>
      <c r="J137" s="66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="67" customFormat="1" ht="21.95" customHeight="1" spans="2:21">
      <c r="B138" s="66"/>
      <c r="C138" s="66"/>
      <c r="D138" s="68"/>
      <c r="E138" s="69"/>
      <c r="F138" s="70"/>
      <c r="G138" s="71"/>
      <c r="H138" s="72"/>
      <c r="I138" s="66"/>
      <c r="J138" s="66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="67" customFormat="1" ht="21.95" customHeight="1" spans="2:21">
      <c r="B139" s="66"/>
      <c r="C139" s="66"/>
      <c r="D139" s="68"/>
      <c r="E139" s="69"/>
      <c r="F139" s="70"/>
      <c r="G139" s="71"/>
      <c r="H139" s="72"/>
      <c r="I139" s="66"/>
      <c r="J139" s="66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="67" customFormat="1" ht="21.95" customHeight="1" spans="2:21">
      <c r="B140" s="66"/>
      <c r="C140" s="66"/>
      <c r="D140" s="68"/>
      <c r="E140" s="69"/>
      <c r="F140" s="70"/>
      <c r="G140" s="71"/>
      <c r="H140" s="72"/>
      <c r="I140" s="66"/>
      <c r="J140" s="66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</sheetData>
  <mergeCells count="5">
    <mergeCell ref="A1:J1"/>
    <mergeCell ref="C2:G2"/>
    <mergeCell ref="H2:J2"/>
    <mergeCell ref="A2:A3"/>
    <mergeCell ref="B2:B3"/>
  </mergeCells>
  <printOptions horizontalCentered="1"/>
  <pageMargins left="0.589583333333333" right="0.589583333333333" top="0.0395833333333333" bottom="0.789583333333333" header="0.509722222222222" footer="0.509722222222222"/>
  <pageSetup paperSize="9" scale="75" firstPageNumber="4" fitToHeight="0" orientation="portrait" useFirstPageNumber="1" horizontalDpi="600" verticalDpi="600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3"/>
  <sheetViews>
    <sheetView view="pageBreakPreview" zoomScale="60" zoomScaleNormal="85" zoomScaleSheetLayoutView="60" topLeftCell="A34" workbookViewId="0">
      <selection activeCell="G55" sqref="G55"/>
    </sheetView>
  </sheetViews>
  <sheetFormatPr defaultColWidth="9" defaultRowHeight="21" customHeight="1"/>
  <cols>
    <col min="1" max="1" width="6.25" style="67" customWidth="1"/>
    <col min="2" max="2" width="30.75" style="66" customWidth="1"/>
    <col min="3" max="3" width="10.125" style="66" customWidth="1"/>
    <col min="4" max="4" width="11.25" style="68" customWidth="1"/>
    <col min="5" max="5" width="10.25" style="69" customWidth="1"/>
    <col min="6" max="6" width="8.625" style="70" customWidth="1"/>
    <col min="7" max="7" width="12.375" style="71" customWidth="1"/>
    <col min="8" max="8" width="5.625" style="72" customWidth="1"/>
    <col min="9" max="9" width="10.625" style="66" customWidth="1"/>
    <col min="10" max="10" width="11.125" style="66" customWidth="1"/>
    <col min="11" max="11" width="10.375" style="72"/>
    <col min="12" max="12" width="49.25" style="72" customWidth="1"/>
    <col min="13" max="13" width="9" style="72"/>
    <col min="14" max="14" width="10.375" style="72"/>
    <col min="15" max="15" width="15.125" style="72" customWidth="1"/>
    <col min="16" max="16384" width="9" style="72"/>
  </cols>
  <sheetData>
    <row r="1" ht="60" customHeight="1" spans="1:10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</row>
    <row r="2" ht="30" customHeight="1" spans="1:10">
      <c r="A2" s="74" t="s">
        <v>1</v>
      </c>
      <c r="B2" s="75" t="s">
        <v>2</v>
      </c>
      <c r="C2" s="76" t="s">
        <v>3</v>
      </c>
      <c r="D2" s="77"/>
      <c r="E2" s="77"/>
      <c r="F2" s="77"/>
      <c r="G2" s="77"/>
      <c r="H2" s="78" t="s">
        <v>4</v>
      </c>
      <c r="I2" s="78"/>
      <c r="J2" s="78"/>
    </row>
    <row r="3" s="59" customFormat="1" ht="30" customHeight="1" spans="1:10">
      <c r="A3" s="79"/>
      <c r="B3" s="80"/>
      <c r="C3" s="78" t="s">
        <v>5</v>
      </c>
      <c r="D3" s="78" t="s">
        <v>6</v>
      </c>
      <c r="E3" s="78" t="s">
        <v>7</v>
      </c>
      <c r="F3" s="78" t="s">
        <v>8</v>
      </c>
      <c r="G3" s="76" t="s">
        <v>9</v>
      </c>
      <c r="H3" s="78" t="s">
        <v>10</v>
      </c>
      <c r="I3" s="78" t="s">
        <v>11</v>
      </c>
      <c r="J3" s="78" t="s">
        <v>12</v>
      </c>
    </row>
    <row r="4" s="60" customFormat="1" ht="30" customHeight="1" spans="1:10">
      <c r="A4" s="81" t="s">
        <v>13</v>
      </c>
      <c r="B4" s="82" t="s">
        <v>14</v>
      </c>
      <c r="C4" s="83">
        <f>C5+C20+C32+C39+C27</f>
        <v>265.48155</v>
      </c>
      <c r="D4" s="83">
        <f>D5+D20+D32+D39+D27</f>
        <v>0</v>
      </c>
      <c r="E4" s="83">
        <f>E5+E20+E32+E39+E27</f>
        <v>1.66</v>
      </c>
      <c r="F4" s="83"/>
      <c r="G4" s="83">
        <f>C4+D4+E4</f>
        <v>267.14155</v>
      </c>
      <c r="H4" s="84" t="s">
        <v>15</v>
      </c>
      <c r="I4" s="84"/>
      <c r="J4" s="84"/>
    </row>
    <row r="5" s="60" customFormat="1" ht="30" customHeight="1" spans="1:10">
      <c r="A5" s="81">
        <v>1</v>
      </c>
      <c r="B5" s="85" t="s">
        <v>16</v>
      </c>
      <c r="C5" s="86">
        <f>C19</f>
        <v>189.1804</v>
      </c>
      <c r="D5" s="83"/>
      <c r="E5" s="87"/>
      <c r="F5" s="83"/>
      <c r="G5" s="88">
        <f>G19</f>
        <v>189.1804</v>
      </c>
      <c r="H5" s="84" t="s">
        <v>15</v>
      </c>
      <c r="I5" s="84"/>
      <c r="J5" s="84"/>
    </row>
    <row r="6" s="60" customFormat="1" ht="30" customHeight="1" spans="1:10">
      <c r="A6" s="89">
        <v>1.1</v>
      </c>
      <c r="B6" s="90" t="s">
        <v>17</v>
      </c>
      <c r="C6" s="91">
        <f>G6</f>
        <v>4.99</v>
      </c>
      <c r="D6" s="83"/>
      <c r="E6" s="87"/>
      <c r="F6" s="83"/>
      <c r="G6" s="92">
        <v>4.99</v>
      </c>
      <c r="H6" s="93" t="s">
        <v>18</v>
      </c>
      <c r="I6" s="93">
        <v>1438.3</v>
      </c>
      <c r="J6" s="116">
        <f>G6/I6*10000</f>
        <v>34.6937356601544</v>
      </c>
    </row>
    <row r="7" s="60" customFormat="1" ht="30" customHeight="1" spans="1:10">
      <c r="A7" s="89">
        <v>1.2</v>
      </c>
      <c r="B7" s="90" t="s">
        <v>97</v>
      </c>
      <c r="C7" s="91">
        <f>G7</f>
        <v>5.64</v>
      </c>
      <c r="D7" s="94"/>
      <c r="E7" s="95"/>
      <c r="F7" s="94"/>
      <c r="G7" s="92">
        <f>I7*J7/10000</f>
        <v>5.64</v>
      </c>
      <c r="H7" s="93" t="s">
        <v>18</v>
      </c>
      <c r="I7" s="93">
        <v>3760</v>
      </c>
      <c r="J7" s="116">
        <v>15</v>
      </c>
    </row>
    <row r="8" s="60" customFormat="1" ht="30" customHeight="1" spans="1:10">
      <c r="A8" s="89">
        <v>1.3</v>
      </c>
      <c r="B8" s="96" t="s">
        <v>98</v>
      </c>
      <c r="C8" s="91">
        <f>G8</f>
        <v>29.5164</v>
      </c>
      <c r="D8" s="94"/>
      <c r="E8" s="95"/>
      <c r="F8" s="94"/>
      <c r="G8" s="92">
        <f>I8*J8/10000</f>
        <v>29.5164</v>
      </c>
      <c r="H8" s="93" t="s">
        <v>18</v>
      </c>
      <c r="I8" s="93">
        <v>5466</v>
      </c>
      <c r="J8" s="116">
        <v>54</v>
      </c>
    </row>
    <row r="9" s="61" customFormat="1" ht="30" customHeight="1" spans="1:10">
      <c r="A9" s="89">
        <v>1.4</v>
      </c>
      <c r="B9" s="90" t="s">
        <v>19</v>
      </c>
      <c r="C9" s="91">
        <f t="shared" ref="C9:C18" si="0">G9</f>
        <v>15.44</v>
      </c>
      <c r="D9" s="83"/>
      <c r="E9" s="87"/>
      <c r="F9" s="83"/>
      <c r="G9" s="92">
        <v>15.44</v>
      </c>
      <c r="H9" s="93" t="s">
        <v>18</v>
      </c>
      <c r="I9" s="93">
        <f>74.1+780+1000</f>
        <v>1854.1</v>
      </c>
      <c r="J9" s="116">
        <f>G9/I9*10000</f>
        <v>83.2749042662208</v>
      </c>
    </row>
    <row r="10" s="61" customFormat="1" ht="30" customHeight="1" spans="1:10">
      <c r="A10" s="89">
        <v>1.5</v>
      </c>
      <c r="B10" s="96" t="s">
        <v>20</v>
      </c>
      <c r="C10" s="91">
        <f t="shared" si="0"/>
        <v>74.37</v>
      </c>
      <c r="D10" s="94"/>
      <c r="E10" s="95"/>
      <c r="F10" s="94"/>
      <c r="G10" s="92">
        <v>74.37</v>
      </c>
      <c r="H10" s="93" t="s">
        <v>21</v>
      </c>
      <c r="I10" s="93">
        <v>1776</v>
      </c>
      <c r="J10" s="116">
        <f>G10/I10*10000</f>
        <v>418.75</v>
      </c>
    </row>
    <row r="11" s="61" customFormat="1" ht="30" customHeight="1" spans="1:10">
      <c r="A11" s="89">
        <v>1.6</v>
      </c>
      <c r="B11" s="96" t="s">
        <v>22</v>
      </c>
      <c r="C11" s="91">
        <f t="shared" si="0"/>
        <v>8.34</v>
      </c>
      <c r="D11" s="94"/>
      <c r="E11" s="95"/>
      <c r="F11" s="94"/>
      <c r="G11" s="92">
        <v>8.34</v>
      </c>
      <c r="H11" s="93" t="s">
        <v>23</v>
      </c>
      <c r="I11" s="93">
        <v>593</v>
      </c>
      <c r="J11" s="116">
        <f>G11/I11*10000</f>
        <v>140.640809443508</v>
      </c>
    </row>
    <row r="12" s="61" customFormat="1" ht="30" customHeight="1" spans="1:10">
      <c r="A12" s="89">
        <v>1.7</v>
      </c>
      <c r="B12" s="96" t="s">
        <v>24</v>
      </c>
      <c r="C12" s="91">
        <f t="shared" si="0"/>
        <v>30.72</v>
      </c>
      <c r="D12" s="94"/>
      <c r="E12" s="95"/>
      <c r="F12" s="94"/>
      <c r="G12" s="92">
        <v>30.72</v>
      </c>
      <c r="H12" s="93" t="s">
        <v>25</v>
      </c>
      <c r="I12" s="93">
        <v>1255</v>
      </c>
      <c r="J12" s="116">
        <f>G12/I12*10000</f>
        <v>244.780876494024</v>
      </c>
    </row>
    <row r="13" s="61" customFormat="1" ht="30" customHeight="1" spans="1:10">
      <c r="A13" s="89">
        <v>1.8</v>
      </c>
      <c r="B13" s="90" t="s">
        <v>26</v>
      </c>
      <c r="C13" s="91">
        <f t="shared" si="0"/>
        <v>2.504</v>
      </c>
      <c r="D13" s="94"/>
      <c r="E13" s="95"/>
      <c r="F13" s="94"/>
      <c r="G13" s="92">
        <f t="shared" ref="G13:G18" si="1">I13*J13/10000</f>
        <v>2.504</v>
      </c>
      <c r="H13" s="93" t="s">
        <v>21</v>
      </c>
      <c r="I13" s="93">
        <v>313</v>
      </c>
      <c r="J13" s="93">
        <v>80</v>
      </c>
    </row>
    <row r="14" s="61" customFormat="1" ht="30" customHeight="1" spans="1:10">
      <c r="A14" s="89">
        <v>1.9</v>
      </c>
      <c r="B14" s="96" t="s">
        <v>27</v>
      </c>
      <c r="C14" s="91">
        <f t="shared" si="0"/>
        <v>4.88</v>
      </c>
      <c r="D14" s="94"/>
      <c r="E14" s="95"/>
      <c r="F14" s="94"/>
      <c r="G14" s="92">
        <f t="shared" si="1"/>
        <v>4.88</v>
      </c>
      <c r="H14" s="93" t="s">
        <v>23</v>
      </c>
      <c r="I14" s="93">
        <v>244</v>
      </c>
      <c r="J14" s="116">
        <v>200</v>
      </c>
    </row>
    <row r="15" s="61" customFormat="1" ht="30" customHeight="1" spans="1:10">
      <c r="A15" s="93">
        <v>1.1</v>
      </c>
      <c r="B15" s="96" t="s">
        <v>28</v>
      </c>
      <c r="C15" s="91">
        <f t="shared" si="0"/>
        <v>0.29</v>
      </c>
      <c r="D15" s="94"/>
      <c r="E15" s="95"/>
      <c r="F15" s="94"/>
      <c r="G15" s="92">
        <v>0.29</v>
      </c>
      <c r="H15" s="93" t="s">
        <v>23</v>
      </c>
      <c r="I15" s="93">
        <v>593</v>
      </c>
      <c r="J15" s="116">
        <f>G15/I15*10000</f>
        <v>4.89038785834739</v>
      </c>
    </row>
    <row r="16" s="61" customFormat="1" ht="30" customHeight="1" spans="1:10">
      <c r="A16" s="93">
        <v>1.11</v>
      </c>
      <c r="B16" s="96" t="s">
        <v>29</v>
      </c>
      <c r="C16" s="91">
        <f t="shared" si="0"/>
        <v>9.56</v>
      </c>
      <c r="D16" s="94"/>
      <c r="E16" s="95"/>
      <c r="F16" s="94"/>
      <c r="G16" s="92">
        <v>9.56</v>
      </c>
      <c r="H16" s="93" t="s">
        <v>25</v>
      </c>
      <c r="I16" s="93">
        <f>1211+381.5</f>
        <v>1592.5</v>
      </c>
      <c r="J16" s="116">
        <f>G16/I16*10000</f>
        <v>60.0313971742543</v>
      </c>
    </row>
    <row r="17" s="61" customFormat="1" ht="30" customHeight="1" spans="1:10">
      <c r="A17" s="93">
        <v>1.12</v>
      </c>
      <c r="B17" s="96" t="s">
        <v>30</v>
      </c>
      <c r="C17" s="91">
        <f t="shared" si="0"/>
        <v>0.53</v>
      </c>
      <c r="D17" s="94"/>
      <c r="E17" s="95"/>
      <c r="F17" s="94"/>
      <c r="G17" s="92">
        <v>0.53</v>
      </c>
      <c r="H17" s="93" t="s">
        <v>25</v>
      </c>
      <c r="I17" s="93">
        <v>178</v>
      </c>
      <c r="J17" s="116">
        <f>G17/I17*10000</f>
        <v>29.7752808988764</v>
      </c>
    </row>
    <row r="18" s="61" customFormat="1" ht="30" customHeight="1" spans="1:10">
      <c r="A18" s="93">
        <v>1.13</v>
      </c>
      <c r="B18" s="96" t="s">
        <v>31</v>
      </c>
      <c r="C18" s="91">
        <f t="shared" si="0"/>
        <v>2.4</v>
      </c>
      <c r="D18" s="94"/>
      <c r="E18" s="95"/>
      <c r="F18" s="94"/>
      <c r="G18" s="92">
        <f t="shared" si="1"/>
        <v>2.4</v>
      </c>
      <c r="H18" s="93" t="s">
        <v>32</v>
      </c>
      <c r="I18" s="93">
        <v>6</v>
      </c>
      <c r="J18" s="116">
        <v>4000</v>
      </c>
    </row>
    <row r="19" s="61" customFormat="1" ht="30" customHeight="1" spans="1:10">
      <c r="A19" s="93"/>
      <c r="B19" s="96" t="s">
        <v>33</v>
      </c>
      <c r="C19" s="91">
        <f>SUM(C6:C18)</f>
        <v>189.1804</v>
      </c>
      <c r="D19" s="94"/>
      <c r="E19" s="95"/>
      <c r="F19" s="94"/>
      <c r="G19" s="92">
        <f>SUM(G6:G18)</f>
        <v>189.1804</v>
      </c>
      <c r="H19" s="93" t="s">
        <v>15</v>
      </c>
      <c r="I19" s="93"/>
      <c r="J19" s="116"/>
    </row>
    <row r="20" s="60" customFormat="1" ht="30" customHeight="1" spans="1:10">
      <c r="A20" s="81">
        <v>2</v>
      </c>
      <c r="B20" s="85" t="s">
        <v>34</v>
      </c>
      <c r="C20" s="86">
        <f>C26</f>
        <v>26.68115</v>
      </c>
      <c r="D20" s="83"/>
      <c r="E20" s="87"/>
      <c r="F20" s="83"/>
      <c r="G20" s="88">
        <f>G26</f>
        <v>26.68115</v>
      </c>
      <c r="H20" s="84"/>
      <c r="I20" s="84"/>
      <c r="J20" s="117"/>
    </row>
    <row r="21" s="61" customFormat="1" ht="30" customHeight="1" spans="1:10">
      <c r="A21" s="89">
        <v>2.1</v>
      </c>
      <c r="B21" s="96" t="s">
        <v>35</v>
      </c>
      <c r="C21" s="91">
        <f>G21</f>
        <v>8.53115</v>
      </c>
      <c r="D21" s="94"/>
      <c r="E21" s="95"/>
      <c r="F21" s="94"/>
      <c r="G21" s="92">
        <f>I21*J21/10000</f>
        <v>8.53115</v>
      </c>
      <c r="H21" s="93" t="s">
        <v>18</v>
      </c>
      <c r="I21" s="93">
        <v>17.59</v>
      </c>
      <c r="J21" s="116">
        <v>4850</v>
      </c>
    </row>
    <row r="22" s="61" customFormat="1" ht="30" customHeight="1" spans="1:10">
      <c r="A22" s="89">
        <v>2.2</v>
      </c>
      <c r="B22" s="96" t="s">
        <v>36</v>
      </c>
      <c r="C22" s="91">
        <f>G22</f>
        <v>4.15</v>
      </c>
      <c r="D22" s="94"/>
      <c r="E22" s="95"/>
      <c r="F22" s="94"/>
      <c r="G22" s="92">
        <f>I22*J22/10000</f>
        <v>4.15</v>
      </c>
      <c r="H22" s="93" t="s">
        <v>18</v>
      </c>
      <c r="I22" s="93">
        <v>10</v>
      </c>
      <c r="J22" s="116">
        <v>4150</v>
      </c>
    </row>
    <row r="23" s="61" customFormat="1" ht="30" customHeight="1" spans="1:10">
      <c r="A23" s="89">
        <v>2.3</v>
      </c>
      <c r="B23" s="96" t="s">
        <v>37</v>
      </c>
      <c r="C23" s="91">
        <f>G23</f>
        <v>4.2</v>
      </c>
      <c r="D23" s="94"/>
      <c r="E23" s="95"/>
      <c r="F23" s="94"/>
      <c r="G23" s="92">
        <f>I23*J23/10000</f>
        <v>4.2</v>
      </c>
      <c r="H23" s="93" t="s">
        <v>18</v>
      </c>
      <c r="I23" s="93">
        <v>10</v>
      </c>
      <c r="J23" s="116">
        <v>4200</v>
      </c>
    </row>
    <row r="24" s="61" customFormat="1" ht="30" customHeight="1" spans="1:10">
      <c r="A24" s="89">
        <v>2.4</v>
      </c>
      <c r="B24" s="96" t="s">
        <v>38</v>
      </c>
      <c r="C24" s="91">
        <f>G24</f>
        <v>8</v>
      </c>
      <c r="D24" s="94"/>
      <c r="E24" s="95"/>
      <c r="F24" s="94"/>
      <c r="G24" s="92">
        <f>I24*J24/10000</f>
        <v>8</v>
      </c>
      <c r="H24" s="93" t="s">
        <v>39</v>
      </c>
      <c r="I24" s="93">
        <v>1</v>
      </c>
      <c r="J24" s="116">
        <v>80000</v>
      </c>
    </row>
    <row r="25" s="61" customFormat="1" ht="30" customHeight="1" spans="1:10">
      <c r="A25" s="89">
        <v>2.5</v>
      </c>
      <c r="B25" s="96" t="s">
        <v>40</v>
      </c>
      <c r="C25" s="91">
        <f>G25</f>
        <v>1.8</v>
      </c>
      <c r="D25" s="94"/>
      <c r="E25" s="95"/>
      <c r="F25" s="94"/>
      <c r="G25" s="92">
        <f>I25*J25/10000</f>
        <v>1.8</v>
      </c>
      <c r="H25" s="93" t="s">
        <v>39</v>
      </c>
      <c r="I25" s="93">
        <v>1</v>
      </c>
      <c r="J25" s="116">
        <v>18000</v>
      </c>
    </row>
    <row r="26" s="61" customFormat="1" ht="30" customHeight="1" spans="1:10">
      <c r="A26" s="93"/>
      <c r="B26" s="96" t="s">
        <v>33</v>
      </c>
      <c r="C26" s="91">
        <f>SUM(C21:C25)</f>
        <v>26.68115</v>
      </c>
      <c r="D26" s="94"/>
      <c r="E26" s="95"/>
      <c r="F26" s="94"/>
      <c r="G26" s="92">
        <f>SUM(G21:G25)</f>
        <v>26.68115</v>
      </c>
      <c r="H26" s="93" t="s">
        <v>15</v>
      </c>
      <c r="I26" s="93"/>
      <c r="J26" s="116"/>
    </row>
    <row r="27" s="61" customFormat="1" ht="30" customHeight="1" spans="1:10">
      <c r="A27" s="81">
        <v>3</v>
      </c>
      <c r="B27" s="97" t="s">
        <v>91</v>
      </c>
      <c r="C27" s="86">
        <f>C31</f>
        <v>21.84</v>
      </c>
      <c r="D27" s="86"/>
      <c r="E27" s="86"/>
      <c r="F27" s="83"/>
      <c r="G27" s="88">
        <f>C27</f>
        <v>21.84</v>
      </c>
      <c r="H27" s="84" t="s">
        <v>15</v>
      </c>
      <c r="I27" s="84"/>
      <c r="J27" s="116"/>
    </row>
    <row r="28" s="61" customFormat="1" ht="30" customHeight="1" spans="1:11">
      <c r="A28" s="89">
        <v>3.1</v>
      </c>
      <c r="B28" s="96" t="s">
        <v>45</v>
      </c>
      <c r="C28" s="91">
        <f>G28</f>
        <v>4.22</v>
      </c>
      <c r="D28" s="94"/>
      <c r="E28" s="95"/>
      <c r="F28" s="94"/>
      <c r="G28" s="92">
        <v>4.22</v>
      </c>
      <c r="H28" s="93" t="s">
        <v>23</v>
      </c>
      <c r="I28" s="93">
        <v>35</v>
      </c>
      <c r="J28" s="116">
        <f>G28/I28*10000</f>
        <v>1205.71428571429</v>
      </c>
      <c r="K28" s="62"/>
    </row>
    <row r="29" s="61" customFormat="1" ht="30" customHeight="1" spans="1:11">
      <c r="A29" s="89">
        <v>3.2</v>
      </c>
      <c r="B29" s="96" t="s">
        <v>86</v>
      </c>
      <c r="C29" s="91">
        <f>G29</f>
        <v>15.92</v>
      </c>
      <c r="D29" s="94"/>
      <c r="E29" s="95"/>
      <c r="F29" s="94"/>
      <c r="G29" s="92">
        <v>15.92</v>
      </c>
      <c r="H29" s="93" t="s">
        <v>23</v>
      </c>
      <c r="I29" s="93">
        <v>90</v>
      </c>
      <c r="J29" s="116">
        <f>G29/I29*10000</f>
        <v>1768.88888888889</v>
      </c>
      <c r="K29" s="62"/>
    </row>
    <row r="30" s="61" customFormat="1" ht="30" customHeight="1" spans="1:10">
      <c r="A30" s="89">
        <v>3.3</v>
      </c>
      <c r="B30" s="90" t="s">
        <v>92</v>
      </c>
      <c r="C30" s="91">
        <f>G30</f>
        <v>1.7</v>
      </c>
      <c r="D30" s="91"/>
      <c r="E30" s="91"/>
      <c r="F30" s="94"/>
      <c r="G30" s="92">
        <v>1.7</v>
      </c>
      <c r="H30" s="93" t="s">
        <v>39</v>
      </c>
      <c r="I30" s="93">
        <v>4</v>
      </c>
      <c r="J30" s="93">
        <f>G30/I30*10000</f>
        <v>4250</v>
      </c>
    </row>
    <row r="31" s="61" customFormat="1" ht="30" customHeight="1" spans="1:10">
      <c r="A31" s="93"/>
      <c r="B31" s="96" t="s">
        <v>33</v>
      </c>
      <c r="C31" s="91">
        <f>SUM(C28:C30)</f>
        <v>21.84</v>
      </c>
      <c r="D31" s="91"/>
      <c r="E31" s="91"/>
      <c r="F31" s="94"/>
      <c r="G31" s="92">
        <f>SUM(G28:G30)</f>
        <v>21.84</v>
      </c>
      <c r="H31" s="93" t="s">
        <v>15</v>
      </c>
      <c r="I31" s="93"/>
      <c r="J31" s="116"/>
    </row>
    <row r="32" s="61" customFormat="1" ht="30" customHeight="1" spans="1:10">
      <c r="A32" s="81">
        <v>4</v>
      </c>
      <c r="B32" s="97" t="s">
        <v>55</v>
      </c>
      <c r="C32" s="86">
        <f>C38</f>
        <v>11.04</v>
      </c>
      <c r="D32" s="86">
        <f>D38</f>
        <v>0</v>
      </c>
      <c r="E32" s="86">
        <f>E38</f>
        <v>1.66</v>
      </c>
      <c r="F32" s="83"/>
      <c r="G32" s="88">
        <f>C32+D32+E32</f>
        <v>12.7</v>
      </c>
      <c r="H32" s="84" t="s">
        <v>15</v>
      </c>
      <c r="I32" s="84"/>
      <c r="J32" s="116"/>
    </row>
    <row r="33" s="62" customFormat="1" ht="30" customHeight="1" spans="1:10">
      <c r="A33" s="89">
        <v>4.1</v>
      </c>
      <c r="B33" s="96" t="s">
        <v>56</v>
      </c>
      <c r="C33" s="91">
        <v>0.13</v>
      </c>
      <c r="D33" s="94"/>
      <c r="E33" s="95">
        <v>0.2</v>
      </c>
      <c r="F33" s="94"/>
      <c r="G33" s="92">
        <f>C33+D33+E33</f>
        <v>0.33</v>
      </c>
      <c r="H33" s="93" t="s">
        <v>23</v>
      </c>
      <c r="I33" s="93">
        <v>5</v>
      </c>
      <c r="J33" s="116">
        <f>G33/I33*10000</f>
        <v>660</v>
      </c>
    </row>
    <row r="34" s="61" customFormat="1" ht="30" customHeight="1" spans="1:10">
      <c r="A34" s="89">
        <v>4.2</v>
      </c>
      <c r="B34" s="96" t="s">
        <v>57</v>
      </c>
      <c r="C34" s="91">
        <v>6.57</v>
      </c>
      <c r="D34" s="94"/>
      <c r="E34" s="95">
        <v>1.46</v>
      </c>
      <c r="F34" s="94"/>
      <c r="G34" s="92">
        <f>C34+D34+E34</f>
        <v>8.03</v>
      </c>
      <c r="H34" s="93" t="s">
        <v>23</v>
      </c>
      <c r="I34" s="93">
        <v>350</v>
      </c>
      <c r="J34" s="116">
        <f>G34/I34*10000</f>
        <v>229.428571428571</v>
      </c>
    </row>
    <row r="35" s="61" customFormat="1" ht="30" customHeight="1" spans="1:10">
      <c r="A35" s="89">
        <v>4.3</v>
      </c>
      <c r="B35" s="90" t="s">
        <v>87</v>
      </c>
      <c r="C35" s="91">
        <f>G35</f>
        <v>1.6</v>
      </c>
      <c r="D35" s="91"/>
      <c r="E35" s="91"/>
      <c r="F35" s="94"/>
      <c r="G35" s="92">
        <v>1.6</v>
      </c>
      <c r="H35" s="93" t="s">
        <v>39</v>
      </c>
      <c r="I35" s="93">
        <v>3</v>
      </c>
      <c r="J35" s="93">
        <f>G35/I35*10000</f>
        <v>5333.33333333333</v>
      </c>
    </row>
    <row r="36" s="61" customFormat="1" ht="30" customHeight="1" spans="1:10">
      <c r="A36" s="89">
        <v>4.4</v>
      </c>
      <c r="B36" s="90" t="s">
        <v>93</v>
      </c>
      <c r="C36" s="91">
        <f>G36</f>
        <v>0.71</v>
      </c>
      <c r="D36" s="91"/>
      <c r="E36" s="91"/>
      <c r="F36" s="94"/>
      <c r="G36" s="92">
        <v>0.71</v>
      </c>
      <c r="H36" s="93" t="s">
        <v>39</v>
      </c>
      <c r="I36" s="93">
        <v>2</v>
      </c>
      <c r="J36" s="93">
        <f>G36/I36*10000</f>
        <v>3550</v>
      </c>
    </row>
    <row r="37" s="61" customFormat="1" ht="30" customHeight="1" spans="1:10">
      <c r="A37" s="89">
        <v>4.5</v>
      </c>
      <c r="B37" s="90" t="s">
        <v>60</v>
      </c>
      <c r="C37" s="91">
        <f>G37</f>
        <v>2.03</v>
      </c>
      <c r="D37" s="91"/>
      <c r="E37" s="91"/>
      <c r="F37" s="94"/>
      <c r="G37" s="92">
        <v>2.03</v>
      </c>
      <c r="H37" s="93" t="s">
        <v>15</v>
      </c>
      <c r="I37" s="93"/>
      <c r="J37" s="93"/>
    </row>
    <row r="38" s="61" customFormat="1" ht="30" customHeight="1" spans="1:10">
      <c r="A38" s="93"/>
      <c r="B38" s="96" t="s">
        <v>33</v>
      </c>
      <c r="C38" s="91">
        <f>SUM(C33:C37)</f>
        <v>11.04</v>
      </c>
      <c r="D38" s="91">
        <f>SUM(D33:D37)</f>
        <v>0</v>
      </c>
      <c r="E38" s="91">
        <f>SUM(E33:E37)</f>
        <v>1.66</v>
      </c>
      <c r="F38" s="94"/>
      <c r="G38" s="92">
        <f>SUM(G33:G37)</f>
        <v>12.7</v>
      </c>
      <c r="H38" s="93" t="s">
        <v>15</v>
      </c>
      <c r="I38" s="93"/>
      <c r="J38" s="116"/>
    </row>
    <row r="39" s="61" customFormat="1" ht="30" customHeight="1" spans="1:10">
      <c r="A39" s="81">
        <v>5</v>
      </c>
      <c r="B39" s="85" t="s">
        <v>61</v>
      </c>
      <c r="C39" s="86">
        <f>I39*J39/10000</f>
        <v>16.74</v>
      </c>
      <c r="D39" s="86"/>
      <c r="E39" s="86"/>
      <c r="F39" s="83"/>
      <c r="G39" s="88">
        <f>I39*J39/10000</f>
        <v>16.74</v>
      </c>
      <c r="H39" s="84" t="s">
        <v>62</v>
      </c>
      <c r="I39" s="84">
        <v>18</v>
      </c>
      <c r="J39" s="84">
        <v>9300</v>
      </c>
    </row>
    <row r="40" s="60" customFormat="1" ht="30" customHeight="1" spans="1:10">
      <c r="A40" s="81"/>
      <c r="B40" s="85"/>
      <c r="C40" s="86"/>
      <c r="D40" s="86"/>
      <c r="E40" s="86"/>
      <c r="F40" s="83"/>
      <c r="G40" s="88"/>
      <c r="H40" s="84"/>
      <c r="I40" s="84"/>
      <c r="J40" s="117"/>
    </row>
    <row r="41" s="60" customFormat="1" ht="29.1" customHeight="1" spans="1:19">
      <c r="A41" s="98" t="s">
        <v>63</v>
      </c>
      <c r="B41" s="82" t="s">
        <v>64</v>
      </c>
      <c r="C41" s="83">
        <f>C53</f>
        <v>45.8932424891667</v>
      </c>
      <c r="D41" s="83"/>
      <c r="E41" s="83"/>
      <c r="F41" s="83"/>
      <c r="G41" s="88">
        <f>C41</f>
        <v>45.8932424891667</v>
      </c>
      <c r="H41" s="84" t="s">
        <v>15</v>
      </c>
      <c r="I41" s="84"/>
      <c r="J41" s="83"/>
      <c r="M41" s="61"/>
      <c r="N41" s="61"/>
      <c r="O41" s="61"/>
      <c r="P41" s="61"/>
      <c r="Q41" s="61"/>
      <c r="R41" s="61"/>
      <c r="S41" s="61"/>
    </row>
    <row r="42" s="61" customFormat="1" ht="30" customHeight="1" spans="1:13">
      <c r="A42" s="99">
        <v>1</v>
      </c>
      <c r="B42" s="100" t="s">
        <v>65</v>
      </c>
      <c r="C42" s="94">
        <f t="shared" ref="C42:C52" si="2">G42</f>
        <v>4.407835575</v>
      </c>
      <c r="D42" s="94"/>
      <c r="E42" s="94"/>
      <c r="F42" s="94"/>
      <c r="G42" s="92">
        <f>I42*0.033*0.5</f>
        <v>4.407835575</v>
      </c>
      <c r="H42" s="93" t="s">
        <v>15</v>
      </c>
      <c r="I42" s="93">
        <f>G4</f>
        <v>267.14155</v>
      </c>
      <c r="J42" s="118">
        <f>G42/I42</f>
        <v>0.0165</v>
      </c>
      <c r="L42" s="60"/>
      <c r="M42" s="60"/>
    </row>
    <row r="43" s="60" customFormat="1" ht="30" customHeight="1" spans="1:21">
      <c r="A43" s="99">
        <v>2</v>
      </c>
      <c r="B43" s="100" t="s">
        <v>94</v>
      </c>
      <c r="C43" s="94">
        <f t="shared" si="2"/>
        <v>0.5743543325</v>
      </c>
      <c r="D43" s="94"/>
      <c r="E43" s="94"/>
      <c r="F43" s="94"/>
      <c r="G43" s="92">
        <f>I43*0.43%*0.5</f>
        <v>0.5743543325</v>
      </c>
      <c r="H43" s="93" t="s">
        <v>15</v>
      </c>
      <c r="I43" s="93">
        <f>I42</f>
        <v>267.14155</v>
      </c>
      <c r="J43" s="118">
        <f>G43/I43</f>
        <v>0.00215</v>
      </c>
      <c r="N43" s="61"/>
      <c r="O43" s="61"/>
      <c r="P43" s="61"/>
      <c r="Q43" s="61"/>
      <c r="R43" s="61"/>
      <c r="S43" s="61"/>
      <c r="T43" s="61"/>
      <c r="U43" s="61"/>
    </row>
    <row r="44" s="60" customFormat="1" ht="30" customHeight="1" spans="1:21">
      <c r="A44" s="99">
        <v>3</v>
      </c>
      <c r="B44" s="100" t="s">
        <v>67</v>
      </c>
      <c r="C44" s="94">
        <f t="shared" si="2"/>
        <v>1</v>
      </c>
      <c r="D44" s="94"/>
      <c r="E44" s="94"/>
      <c r="F44" s="94"/>
      <c r="G44" s="92">
        <v>1</v>
      </c>
      <c r="H44" s="93" t="s">
        <v>15</v>
      </c>
      <c r="I44" s="93">
        <f>I42</f>
        <v>267.14155</v>
      </c>
      <c r="J44" s="118">
        <f>G44/I44</f>
        <v>0.00374333382433395</v>
      </c>
      <c r="N44" s="61"/>
      <c r="O44" s="61"/>
      <c r="P44" s="61"/>
      <c r="Q44" s="61"/>
      <c r="R44" s="61"/>
      <c r="S44" s="61"/>
      <c r="T44" s="61"/>
      <c r="U44" s="61"/>
    </row>
    <row r="45" s="60" customFormat="1" ht="30" customHeight="1" spans="1:21">
      <c r="A45" s="99">
        <v>4</v>
      </c>
      <c r="B45" s="100" t="s">
        <v>68</v>
      </c>
      <c r="C45" s="94">
        <f t="shared" si="2"/>
        <v>0.400712325</v>
      </c>
      <c r="D45" s="94"/>
      <c r="E45" s="94"/>
      <c r="F45" s="94"/>
      <c r="G45" s="92">
        <f>I45*J45</f>
        <v>0.400712325</v>
      </c>
      <c r="H45" s="93" t="s">
        <v>15</v>
      </c>
      <c r="I45" s="93">
        <f>I42</f>
        <v>267.14155</v>
      </c>
      <c r="J45" s="118">
        <v>0.0015</v>
      </c>
      <c r="N45" s="61"/>
      <c r="O45" s="61"/>
      <c r="P45" s="61"/>
      <c r="Q45" s="61"/>
      <c r="R45" s="61"/>
      <c r="S45" s="61"/>
      <c r="T45" s="61"/>
      <c r="U45" s="61"/>
    </row>
    <row r="46" s="61" customFormat="1" ht="30" customHeight="1" spans="1:14">
      <c r="A46" s="99">
        <v>5</v>
      </c>
      <c r="B46" s="100" t="s">
        <v>69</v>
      </c>
      <c r="C46" s="94">
        <f t="shared" si="2"/>
        <v>6.53963708166667</v>
      </c>
      <c r="D46" s="94"/>
      <c r="E46" s="94"/>
      <c r="F46" s="94"/>
      <c r="G46" s="92">
        <f>((I46-200)*(20.9-9)/300+9)*0.5+G4*0.0056*0.5-0.04</f>
        <v>6.53963708166667</v>
      </c>
      <c r="H46" s="93" t="s">
        <v>15</v>
      </c>
      <c r="I46" s="93">
        <f>I42</f>
        <v>267.14155</v>
      </c>
      <c r="J46" s="118">
        <f t="shared" ref="J46:J51" si="3">G46/I46</f>
        <v>0.0244800446866714</v>
      </c>
      <c r="L46" s="60"/>
      <c r="M46" s="60"/>
      <c r="N46" s="119"/>
    </row>
    <row r="47" s="61" customFormat="1" ht="30" customHeight="1" spans="1:13">
      <c r="A47" s="99">
        <v>6</v>
      </c>
      <c r="B47" s="100" t="s">
        <v>70</v>
      </c>
      <c r="C47" s="94">
        <f t="shared" si="2"/>
        <v>0.400712325</v>
      </c>
      <c r="D47" s="94"/>
      <c r="E47" s="94"/>
      <c r="F47" s="94"/>
      <c r="G47" s="92">
        <f>I47*J47</f>
        <v>0.400712325</v>
      </c>
      <c r="H47" s="93" t="s">
        <v>15</v>
      </c>
      <c r="I47" s="93">
        <f>I42</f>
        <v>267.14155</v>
      </c>
      <c r="J47" s="118">
        <v>0.0015</v>
      </c>
      <c r="L47" s="60"/>
      <c r="M47" s="60"/>
    </row>
    <row r="48" s="61" customFormat="1" ht="30" customHeight="1" spans="1:14">
      <c r="A48" s="99">
        <v>7</v>
      </c>
      <c r="B48" s="101" t="s">
        <v>71</v>
      </c>
      <c r="C48" s="94">
        <f t="shared" si="2"/>
        <v>2.4</v>
      </c>
      <c r="D48" s="94"/>
      <c r="E48" s="94"/>
      <c r="F48" s="94"/>
      <c r="G48" s="92">
        <v>2.4</v>
      </c>
      <c r="H48" s="93" t="s">
        <v>15</v>
      </c>
      <c r="I48" s="93">
        <f>I42</f>
        <v>267.14155</v>
      </c>
      <c r="J48" s="118">
        <f t="shared" si="3"/>
        <v>0.00898400117840149</v>
      </c>
      <c r="L48" s="60"/>
      <c r="M48" s="60"/>
      <c r="N48" s="119"/>
    </row>
    <row r="49" s="61" customFormat="1" ht="30" customHeight="1" spans="1:13">
      <c r="A49" s="99">
        <v>8</v>
      </c>
      <c r="B49" s="101" t="s">
        <v>72</v>
      </c>
      <c r="C49" s="94">
        <f t="shared" si="2"/>
        <v>2</v>
      </c>
      <c r="D49" s="94"/>
      <c r="E49" s="94"/>
      <c r="F49" s="94"/>
      <c r="G49" s="92">
        <v>2</v>
      </c>
      <c r="H49" s="93" t="s">
        <v>15</v>
      </c>
      <c r="I49" s="93">
        <f>I42</f>
        <v>267.14155</v>
      </c>
      <c r="J49" s="118">
        <f t="shared" si="3"/>
        <v>0.00748666764866791</v>
      </c>
      <c r="L49" s="60"/>
      <c r="M49" s="60"/>
    </row>
    <row r="50" s="61" customFormat="1" ht="30" customHeight="1" spans="1:13">
      <c r="A50" s="99">
        <v>9</v>
      </c>
      <c r="B50" s="101" t="s">
        <v>73</v>
      </c>
      <c r="C50" s="94">
        <f t="shared" si="2"/>
        <v>1</v>
      </c>
      <c r="D50" s="94"/>
      <c r="E50" s="94"/>
      <c r="F50" s="94"/>
      <c r="G50" s="94">
        <v>1</v>
      </c>
      <c r="H50" s="93" t="s">
        <v>15</v>
      </c>
      <c r="I50" s="93">
        <f>I46</f>
        <v>267.14155</v>
      </c>
      <c r="J50" s="118">
        <f t="shared" si="3"/>
        <v>0.00374333382433395</v>
      </c>
      <c r="L50" s="60"/>
      <c r="M50" s="60"/>
    </row>
    <row r="51" s="61" customFormat="1" ht="30" customHeight="1" spans="1:13">
      <c r="A51" s="99">
        <v>10</v>
      </c>
      <c r="B51" s="101" t="s">
        <v>95</v>
      </c>
      <c r="C51" s="94">
        <f t="shared" si="2"/>
        <v>2.16999085</v>
      </c>
      <c r="D51" s="94"/>
      <c r="E51" s="94"/>
      <c r="F51" s="94"/>
      <c r="G51" s="94">
        <f>((I51-100)*0.7%+1)</f>
        <v>2.16999085</v>
      </c>
      <c r="H51" s="93" t="s">
        <v>15</v>
      </c>
      <c r="I51" s="93">
        <f>I50</f>
        <v>267.14155</v>
      </c>
      <c r="J51" s="118">
        <f t="shared" si="3"/>
        <v>0.00812300014730018</v>
      </c>
      <c r="L51" s="60"/>
      <c r="M51" s="60"/>
    </row>
    <row r="52" s="61" customFormat="1" ht="30" customHeight="1" spans="1:13">
      <c r="A52" s="99">
        <v>11</v>
      </c>
      <c r="B52" s="101" t="s">
        <v>75</v>
      </c>
      <c r="C52" s="94">
        <f t="shared" si="2"/>
        <v>25</v>
      </c>
      <c r="D52" s="94"/>
      <c r="E52" s="94"/>
      <c r="F52" s="94"/>
      <c r="G52" s="94">
        <v>25</v>
      </c>
      <c r="H52" s="101" t="s">
        <v>15</v>
      </c>
      <c r="I52" s="101"/>
      <c r="J52" s="101"/>
      <c r="L52" s="60"/>
      <c r="M52" s="60"/>
    </row>
    <row r="53" s="61" customFormat="1" ht="30" customHeight="1" spans="1:13">
      <c r="A53" s="102"/>
      <c r="B53" s="101" t="s">
        <v>33</v>
      </c>
      <c r="C53" s="94">
        <f>SUM(C42:C52)</f>
        <v>45.8932424891667</v>
      </c>
      <c r="D53" s="94"/>
      <c r="E53" s="94"/>
      <c r="F53" s="94"/>
      <c r="G53" s="94">
        <f>SUM(G42:G52)</f>
        <v>45.8932424891667</v>
      </c>
      <c r="H53" s="93" t="s">
        <v>15</v>
      </c>
      <c r="I53" s="102"/>
      <c r="J53" s="102"/>
      <c r="L53" s="60"/>
      <c r="M53" s="60"/>
    </row>
    <row r="54" s="63" customFormat="1" ht="30" customHeight="1" spans="1:19">
      <c r="A54" s="103" t="s">
        <v>76</v>
      </c>
      <c r="B54" s="82" t="s">
        <v>77</v>
      </c>
      <c r="C54" s="83">
        <f>G54</f>
        <v>25.0427833991333</v>
      </c>
      <c r="D54" s="83"/>
      <c r="E54" s="83"/>
      <c r="F54" s="83"/>
      <c r="G54" s="88">
        <f>I54*J54</f>
        <v>25.0427833991333</v>
      </c>
      <c r="H54" s="84" t="s">
        <v>15</v>
      </c>
      <c r="I54" s="120">
        <f>G4+G41</f>
        <v>313.034792489167</v>
      </c>
      <c r="J54" s="121">
        <v>0.08</v>
      </c>
      <c r="M54" s="61"/>
      <c r="N54" s="61"/>
      <c r="O54" s="61"/>
      <c r="P54" s="61"/>
      <c r="Q54" s="61"/>
      <c r="R54" s="61"/>
      <c r="S54" s="61"/>
    </row>
    <row r="55" s="64" customFormat="1" ht="30" customHeight="1" spans="1:19">
      <c r="A55" s="103" t="s">
        <v>78</v>
      </c>
      <c r="B55" s="82" t="s">
        <v>79</v>
      </c>
      <c r="C55" s="83">
        <f>C4</f>
        <v>265.48155</v>
      </c>
      <c r="D55" s="83">
        <f>D4</f>
        <v>0</v>
      </c>
      <c r="E55" s="83">
        <f>E4</f>
        <v>1.66</v>
      </c>
      <c r="F55" s="83">
        <f>G54+G41</f>
        <v>70.9360258883</v>
      </c>
      <c r="G55" s="104">
        <f>C55+D55+E55+F55</f>
        <v>338.0775758883</v>
      </c>
      <c r="H55" s="84" t="s">
        <v>15</v>
      </c>
      <c r="I55" s="84"/>
      <c r="J55" s="83"/>
      <c r="K55" s="64">
        <v>338.07</v>
      </c>
      <c r="L55" s="64">
        <f>G55-K55</f>
        <v>0.00757588829998213</v>
      </c>
      <c r="M55" s="61"/>
      <c r="N55" s="61"/>
      <c r="O55" s="61"/>
      <c r="P55" s="61"/>
      <c r="Q55" s="61"/>
      <c r="R55" s="61"/>
      <c r="S55" s="61"/>
    </row>
    <row r="56" s="65" customFormat="1" ht="30" customHeight="1" spans="1:19">
      <c r="A56" s="103" t="s">
        <v>80</v>
      </c>
      <c r="B56" s="105" t="s">
        <v>81</v>
      </c>
      <c r="C56" s="106">
        <f>C55/G55</f>
        <v>0.785268142385505</v>
      </c>
      <c r="D56" s="106">
        <f>D55/G55</f>
        <v>0</v>
      </c>
      <c r="E56" s="106">
        <f>E55/G55</f>
        <v>0.00491011566099391</v>
      </c>
      <c r="F56" s="107">
        <f>F55/G55</f>
        <v>0.209821741953501</v>
      </c>
      <c r="G56" s="106">
        <f>SUM(C56:F56)</f>
        <v>1</v>
      </c>
      <c r="H56" s="108"/>
      <c r="I56" s="120"/>
      <c r="J56" s="122"/>
      <c r="M56" s="61"/>
      <c r="N56" s="61"/>
      <c r="O56" s="61"/>
      <c r="P56" s="61"/>
      <c r="Q56" s="61"/>
      <c r="R56" s="61"/>
      <c r="S56" s="61"/>
    </row>
    <row r="57" ht="21.95" customHeight="1" spans="1:19">
      <c r="A57" s="109"/>
      <c r="B57" s="110"/>
      <c r="C57" s="110"/>
      <c r="D57" s="111"/>
      <c r="E57" s="112"/>
      <c r="F57" s="113">
        <f>G41/G55</f>
        <v>0.135747667879427</v>
      </c>
      <c r="G57" s="113"/>
      <c r="H57" s="114"/>
      <c r="M57" s="61"/>
      <c r="N57" s="61"/>
      <c r="O57" s="61"/>
      <c r="P57" s="61"/>
      <c r="Q57" s="61"/>
      <c r="R57" s="61"/>
      <c r="S57" s="61"/>
    </row>
    <row r="58" ht="21.95" customHeight="1" spans="1:19">
      <c r="A58" s="109"/>
      <c r="B58" s="61"/>
      <c r="C58" s="61"/>
      <c r="D58" s="61"/>
      <c r="E58" s="61"/>
      <c r="F58" s="61"/>
      <c r="G58" s="61"/>
      <c r="H58" s="61"/>
      <c r="I58" s="61"/>
      <c r="M58" s="61"/>
      <c r="N58" s="61"/>
      <c r="O58" s="61"/>
      <c r="P58" s="61"/>
      <c r="Q58" s="61"/>
      <c r="R58" s="61"/>
      <c r="S58" s="61"/>
    </row>
    <row r="59" ht="21.95" customHeight="1" spans="1:8">
      <c r="A59" s="109"/>
      <c r="B59" s="110"/>
      <c r="C59" s="110"/>
      <c r="D59" s="111"/>
      <c r="E59" s="112"/>
      <c r="F59" s="115"/>
      <c r="G59" s="113"/>
      <c r="H59" s="114"/>
    </row>
    <row r="60" ht="21.95" customHeight="1" spans="1:8">
      <c r="A60" s="109"/>
      <c r="B60" s="110"/>
      <c r="C60" s="110"/>
      <c r="D60" s="111"/>
      <c r="E60" s="112"/>
      <c r="F60" s="115"/>
      <c r="G60" s="113"/>
      <c r="H60" s="114"/>
    </row>
    <row r="61" ht="21.95" customHeight="1" spans="1:8">
      <c r="A61" s="109"/>
      <c r="B61" s="110"/>
      <c r="C61" s="110"/>
      <c r="D61" s="111"/>
      <c r="E61" s="112"/>
      <c r="F61" s="115"/>
      <c r="G61" s="113"/>
      <c r="H61" s="114"/>
    </row>
    <row r="62" ht="21.95" customHeight="1" spans="1:8">
      <c r="A62" s="109"/>
      <c r="B62" s="110"/>
      <c r="C62" s="110"/>
      <c r="D62" s="111"/>
      <c r="E62" s="112"/>
      <c r="F62" s="115"/>
      <c r="G62" s="113"/>
      <c r="H62" s="114"/>
    </row>
    <row r="63" ht="21.95" customHeight="1" spans="1:8">
      <c r="A63" s="109"/>
      <c r="B63" s="110"/>
      <c r="C63" s="110"/>
      <c r="D63" s="111"/>
      <c r="E63" s="112"/>
      <c r="F63" s="115"/>
      <c r="G63" s="113"/>
      <c r="H63" s="114"/>
    </row>
    <row r="64" ht="21.95" customHeight="1" spans="1:8">
      <c r="A64" s="109"/>
      <c r="B64" s="110"/>
      <c r="C64" s="110"/>
      <c r="D64" s="111"/>
      <c r="E64" s="112"/>
      <c r="F64" s="115"/>
      <c r="G64" s="113"/>
      <c r="H64" s="114"/>
    </row>
    <row r="65" ht="21.95" customHeight="1" spans="1:8">
      <c r="A65" s="109"/>
      <c r="B65" s="110"/>
      <c r="C65" s="110"/>
      <c r="D65" s="111"/>
      <c r="E65" s="112"/>
      <c r="F65" s="115"/>
      <c r="G65" s="113"/>
      <c r="H65" s="114"/>
    </row>
    <row r="66" ht="21.95" customHeight="1" spans="1:8">
      <c r="A66" s="109"/>
      <c r="B66" s="110"/>
      <c r="C66" s="110"/>
      <c r="D66" s="111"/>
      <c r="E66" s="112"/>
      <c r="F66" s="115"/>
      <c r="G66" s="113"/>
      <c r="H66" s="114"/>
    </row>
    <row r="67" ht="21.95" customHeight="1" spans="1:8">
      <c r="A67" s="109"/>
      <c r="B67" s="110"/>
      <c r="C67" s="110"/>
      <c r="D67" s="111"/>
      <c r="E67" s="112"/>
      <c r="F67" s="115"/>
      <c r="G67" s="113"/>
      <c r="H67" s="114"/>
    </row>
    <row r="68" ht="21.95" customHeight="1" spans="1:8">
      <c r="A68" s="109"/>
      <c r="B68" s="110"/>
      <c r="C68" s="110"/>
      <c r="D68" s="111"/>
      <c r="E68" s="112"/>
      <c r="F68" s="115"/>
      <c r="G68" s="113"/>
      <c r="H68" s="114"/>
    </row>
    <row r="69" ht="21.95" customHeight="1" spans="1:8">
      <c r="A69" s="109"/>
      <c r="B69" s="110"/>
      <c r="C69" s="110"/>
      <c r="D69" s="111"/>
      <c r="E69" s="112"/>
      <c r="F69" s="115"/>
      <c r="G69" s="113"/>
      <c r="H69" s="114"/>
    </row>
    <row r="70" ht="21.95" customHeight="1" spans="1:8">
      <c r="A70" s="109"/>
      <c r="B70" s="110"/>
      <c r="C70" s="110"/>
      <c r="D70" s="111"/>
      <c r="E70" s="112"/>
      <c r="F70" s="115"/>
      <c r="G70" s="113"/>
      <c r="H70" s="114"/>
    </row>
    <row r="71" ht="21.95" customHeight="1" spans="1:8">
      <c r="A71" s="109"/>
      <c r="B71" s="110"/>
      <c r="C71" s="110"/>
      <c r="D71" s="111"/>
      <c r="E71" s="112"/>
      <c r="F71" s="115"/>
      <c r="G71" s="113"/>
      <c r="H71" s="114"/>
    </row>
    <row r="72" ht="21.95" customHeight="1" spans="1:8">
      <c r="A72" s="109"/>
      <c r="B72" s="110"/>
      <c r="C72" s="110"/>
      <c r="D72" s="111"/>
      <c r="E72" s="112"/>
      <c r="F72" s="115"/>
      <c r="G72" s="113"/>
      <c r="H72" s="114"/>
    </row>
    <row r="73" s="66" customFormat="1" ht="21.95" customHeight="1" spans="1:21">
      <c r="A73" s="109"/>
      <c r="B73" s="110"/>
      <c r="C73" s="110"/>
      <c r="D73" s="111"/>
      <c r="E73" s="112"/>
      <c r="F73" s="115"/>
      <c r="G73" s="113"/>
      <c r="H73" s="114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="66" customFormat="1" ht="21.95" customHeight="1" spans="1:21">
      <c r="A74" s="109"/>
      <c r="B74" s="110"/>
      <c r="C74" s="110"/>
      <c r="D74" s="111"/>
      <c r="E74" s="112"/>
      <c r="F74" s="115"/>
      <c r="G74" s="113"/>
      <c r="H74" s="114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="66" customFormat="1" ht="21.95" customHeight="1" spans="1:21">
      <c r="A75" s="109"/>
      <c r="B75" s="110"/>
      <c r="C75" s="110"/>
      <c r="D75" s="111"/>
      <c r="E75" s="112"/>
      <c r="F75" s="115"/>
      <c r="G75" s="113"/>
      <c r="H75" s="114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="66" customFormat="1" ht="21.95" customHeight="1" spans="1:21">
      <c r="A76" s="109"/>
      <c r="B76" s="110"/>
      <c r="C76" s="110"/>
      <c r="D76" s="111"/>
      <c r="E76" s="112"/>
      <c r="F76" s="115"/>
      <c r="G76" s="113"/>
      <c r="H76" s="114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="66" customFormat="1" ht="21.95" customHeight="1" spans="1:21">
      <c r="A77" s="109"/>
      <c r="B77" s="110"/>
      <c r="C77" s="110"/>
      <c r="D77" s="111"/>
      <c r="E77" s="112"/>
      <c r="F77" s="115"/>
      <c r="G77" s="113"/>
      <c r="H77" s="114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="66" customFormat="1" ht="21.95" customHeight="1" spans="1:21">
      <c r="A78" s="109"/>
      <c r="B78" s="110"/>
      <c r="C78" s="110"/>
      <c r="D78" s="111"/>
      <c r="E78" s="112"/>
      <c r="F78" s="115"/>
      <c r="G78" s="113"/>
      <c r="H78" s="114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="66" customFormat="1" ht="21.95" customHeight="1" spans="1:21">
      <c r="A79" s="109"/>
      <c r="B79" s="110"/>
      <c r="C79" s="110"/>
      <c r="D79" s="111"/>
      <c r="E79" s="112"/>
      <c r="F79" s="115"/>
      <c r="G79" s="113"/>
      <c r="H79" s="114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="66" customFormat="1" ht="21.95" customHeight="1" spans="1:21">
      <c r="A80" s="109"/>
      <c r="B80" s="110"/>
      <c r="C80" s="110"/>
      <c r="D80" s="111"/>
      <c r="E80" s="112"/>
      <c r="F80" s="115"/>
      <c r="G80" s="113"/>
      <c r="H80" s="114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="66" customFormat="1" ht="21.95" customHeight="1" spans="1:21">
      <c r="A81" s="109"/>
      <c r="B81" s="110"/>
      <c r="C81" s="110"/>
      <c r="D81" s="111"/>
      <c r="E81" s="112"/>
      <c r="F81" s="115"/>
      <c r="G81" s="113"/>
      <c r="H81" s="114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="66" customFormat="1" ht="21.95" customHeight="1" spans="1:21">
      <c r="A82" s="109"/>
      <c r="B82" s="110"/>
      <c r="C82" s="110"/>
      <c r="D82" s="111"/>
      <c r="E82" s="112"/>
      <c r="F82" s="115"/>
      <c r="G82" s="113"/>
      <c r="H82" s="114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="66" customFormat="1" ht="21.95" customHeight="1" spans="1:21">
      <c r="A83" s="109"/>
      <c r="B83" s="110"/>
      <c r="C83" s="110"/>
      <c r="D83" s="111"/>
      <c r="E83" s="112"/>
      <c r="F83" s="115"/>
      <c r="G83" s="113"/>
      <c r="H83" s="114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="66" customFormat="1" ht="21.95" customHeight="1" spans="1:21">
      <c r="A84" s="109"/>
      <c r="B84" s="110"/>
      <c r="C84" s="110"/>
      <c r="D84" s="111"/>
      <c r="E84" s="112"/>
      <c r="F84" s="115"/>
      <c r="G84" s="113"/>
      <c r="H84" s="114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="66" customFormat="1" ht="21.95" customHeight="1" spans="1:21">
      <c r="A85" s="109"/>
      <c r="B85" s="110"/>
      <c r="C85" s="110"/>
      <c r="D85" s="111"/>
      <c r="E85" s="112"/>
      <c r="F85" s="115"/>
      <c r="G85" s="113"/>
      <c r="H85" s="114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="66" customFormat="1" ht="21.95" customHeight="1" spans="1:21">
      <c r="A86" s="109"/>
      <c r="B86" s="110"/>
      <c r="C86" s="110"/>
      <c r="D86" s="111"/>
      <c r="E86" s="112"/>
      <c r="F86" s="115"/>
      <c r="G86" s="113"/>
      <c r="H86" s="114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="66" customFormat="1" ht="21.95" customHeight="1" spans="1:21">
      <c r="A87" s="109"/>
      <c r="B87" s="110"/>
      <c r="C87" s="110"/>
      <c r="D87" s="111"/>
      <c r="E87" s="112"/>
      <c r="F87" s="115"/>
      <c r="G87" s="113"/>
      <c r="H87" s="114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="66" customFormat="1" ht="21.95" customHeight="1" spans="1:21">
      <c r="A88" s="109"/>
      <c r="B88" s="110"/>
      <c r="C88" s="110"/>
      <c r="D88" s="111"/>
      <c r="E88" s="112"/>
      <c r="F88" s="115"/>
      <c r="G88" s="113"/>
      <c r="H88" s="114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="66" customFormat="1" ht="21.95" customHeight="1" spans="1:21">
      <c r="A89" s="109"/>
      <c r="B89" s="110"/>
      <c r="C89" s="110"/>
      <c r="D89" s="111"/>
      <c r="E89" s="112"/>
      <c r="F89" s="115"/>
      <c r="G89" s="113"/>
      <c r="H89" s="114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="66" customFormat="1" ht="21.95" customHeight="1" spans="1:21">
      <c r="A90" s="109"/>
      <c r="B90" s="110"/>
      <c r="C90" s="110"/>
      <c r="D90" s="111"/>
      <c r="E90" s="112"/>
      <c r="F90" s="115"/>
      <c r="G90" s="113"/>
      <c r="H90" s="114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="66" customFormat="1" ht="21.95" customHeight="1" spans="1:21">
      <c r="A91" s="109"/>
      <c r="B91" s="110"/>
      <c r="C91" s="110"/>
      <c r="D91" s="111"/>
      <c r="E91" s="112"/>
      <c r="F91" s="115"/>
      <c r="G91" s="113"/>
      <c r="H91" s="11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="66" customFormat="1" ht="21.95" customHeight="1" spans="1:21">
      <c r="A92" s="109"/>
      <c r="B92" s="110"/>
      <c r="C92" s="110"/>
      <c r="D92" s="111"/>
      <c r="E92" s="112"/>
      <c r="F92" s="115"/>
      <c r="G92" s="113"/>
      <c r="H92" s="114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="66" customFormat="1" ht="21.95" customHeight="1" spans="1:21">
      <c r="A93" s="109"/>
      <c r="B93" s="110"/>
      <c r="C93" s="110"/>
      <c r="D93" s="111"/>
      <c r="E93" s="112"/>
      <c r="F93" s="115"/>
      <c r="G93" s="113"/>
      <c r="H93" s="114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="66" customFormat="1" ht="21.95" customHeight="1" spans="1:21">
      <c r="A94" s="67"/>
      <c r="D94" s="68"/>
      <c r="E94" s="69"/>
      <c r="F94" s="70"/>
      <c r="G94" s="71"/>
      <c r="H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="66" customFormat="1" ht="21.95" customHeight="1" spans="1:21">
      <c r="A95" s="67"/>
      <c r="D95" s="68"/>
      <c r="E95" s="69"/>
      <c r="F95" s="70"/>
      <c r="G95" s="71"/>
      <c r="H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="66" customFormat="1" ht="21.95" customHeight="1" spans="1:21">
      <c r="A96" s="67"/>
      <c r="D96" s="68"/>
      <c r="E96" s="69"/>
      <c r="F96" s="70"/>
      <c r="G96" s="71"/>
      <c r="H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="66" customFormat="1" ht="21.95" customHeight="1" spans="1:21">
      <c r="A97" s="67"/>
      <c r="D97" s="68"/>
      <c r="E97" s="69"/>
      <c r="F97" s="70"/>
      <c r="G97" s="71"/>
      <c r="H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="66" customFormat="1" ht="21.95" customHeight="1" spans="1:21">
      <c r="A98" s="67"/>
      <c r="D98" s="68"/>
      <c r="E98" s="69"/>
      <c r="F98" s="70"/>
      <c r="G98" s="71"/>
      <c r="H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="66" customFormat="1" ht="21.95" customHeight="1" spans="1:21">
      <c r="A99" s="67"/>
      <c r="D99" s="68"/>
      <c r="E99" s="69"/>
      <c r="F99" s="70"/>
      <c r="G99" s="71"/>
      <c r="H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="66" customFormat="1" ht="21.95" customHeight="1" spans="1:21">
      <c r="A100" s="67"/>
      <c r="D100" s="68"/>
      <c r="E100" s="69"/>
      <c r="F100" s="70"/>
      <c r="G100" s="71"/>
      <c r="H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="66" customFormat="1" ht="21.95" customHeight="1" spans="1:21">
      <c r="A101" s="67"/>
      <c r="D101" s="68"/>
      <c r="E101" s="69"/>
      <c r="F101" s="70"/>
      <c r="G101" s="71"/>
      <c r="H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="66" customFormat="1" ht="21.95" customHeight="1" spans="1:21">
      <c r="A102" s="67"/>
      <c r="D102" s="68"/>
      <c r="E102" s="69"/>
      <c r="F102" s="70"/>
      <c r="G102" s="71"/>
      <c r="H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="66" customFormat="1" ht="21.95" customHeight="1" spans="1:21">
      <c r="A103" s="67"/>
      <c r="D103" s="68"/>
      <c r="E103" s="69"/>
      <c r="F103" s="70"/>
      <c r="G103" s="71"/>
      <c r="H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="66" customFormat="1" ht="21.95" customHeight="1" spans="1:21">
      <c r="A104" s="67"/>
      <c r="D104" s="68"/>
      <c r="E104" s="69"/>
      <c r="F104" s="70"/>
      <c r="G104" s="71"/>
      <c r="H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="67" customFormat="1" ht="21.95" customHeight="1" spans="2:21">
      <c r="B105" s="66"/>
      <c r="C105" s="66"/>
      <c r="D105" s="68"/>
      <c r="E105" s="69"/>
      <c r="F105" s="70"/>
      <c r="G105" s="71"/>
      <c r="H105" s="72"/>
      <c r="I105" s="66"/>
      <c r="J105" s="66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="67" customFormat="1" ht="21.95" customHeight="1" spans="2:21">
      <c r="B106" s="66"/>
      <c r="C106" s="66"/>
      <c r="D106" s="68"/>
      <c r="E106" s="69"/>
      <c r="F106" s="70"/>
      <c r="G106" s="71"/>
      <c r="H106" s="72"/>
      <c r="I106" s="66"/>
      <c r="J106" s="66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="67" customFormat="1" ht="21.95" customHeight="1" spans="2:21">
      <c r="B107" s="66"/>
      <c r="C107" s="66"/>
      <c r="D107" s="68"/>
      <c r="E107" s="69"/>
      <c r="F107" s="70"/>
      <c r="G107" s="71"/>
      <c r="H107" s="72"/>
      <c r="I107" s="66"/>
      <c r="J107" s="66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="67" customFormat="1" ht="21.95" customHeight="1" spans="2:21">
      <c r="B108" s="66"/>
      <c r="C108" s="66"/>
      <c r="D108" s="68"/>
      <c r="E108" s="69"/>
      <c r="F108" s="70"/>
      <c r="G108" s="71"/>
      <c r="H108" s="72"/>
      <c r="I108" s="66"/>
      <c r="J108" s="66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="67" customFormat="1" ht="21.95" customHeight="1" spans="2:21">
      <c r="B109" s="66"/>
      <c r="C109" s="66"/>
      <c r="D109" s="68"/>
      <c r="E109" s="69"/>
      <c r="F109" s="70"/>
      <c r="G109" s="71"/>
      <c r="H109" s="72"/>
      <c r="I109" s="66"/>
      <c r="J109" s="66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="67" customFormat="1" ht="21.95" customHeight="1" spans="2:21">
      <c r="B110" s="66"/>
      <c r="C110" s="66"/>
      <c r="D110" s="68"/>
      <c r="E110" s="69"/>
      <c r="F110" s="70"/>
      <c r="G110" s="71"/>
      <c r="H110" s="72"/>
      <c r="I110" s="66"/>
      <c r="J110" s="66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="67" customFormat="1" ht="21.95" customHeight="1" spans="2:21">
      <c r="B111" s="66"/>
      <c r="C111" s="66"/>
      <c r="D111" s="68"/>
      <c r="E111" s="69"/>
      <c r="F111" s="70"/>
      <c r="G111" s="71"/>
      <c r="H111" s="72"/>
      <c r="I111" s="66"/>
      <c r="J111" s="66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="67" customFormat="1" ht="21.95" customHeight="1" spans="2:21">
      <c r="B112" s="66"/>
      <c r="C112" s="66"/>
      <c r="D112" s="68"/>
      <c r="E112" s="69"/>
      <c r="F112" s="70"/>
      <c r="G112" s="71"/>
      <c r="H112" s="72"/>
      <c r="I112" s="66"/>
      <c r="J112" s="66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="67" customFormat="1" ht="21.95" customHeight="1" spans="2:21">
      <c r="B113" s="66"/>
      <c r="C113" s="66"/>
      <c r="D113" s="68"/>
      <c r="E113" s="69"/>
      <c r="F113" s="70"/>
      <c r="G113" s="71"/>
      <c r="H113" s="72"/>
      <c r="I113" s="66"/>
      <c r="J113" s="66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="67" customFormat="1" ht="21.95" customHeight="1" spans="2:21">
      <c r="B114" s="66"/>
      <c r="C114" s="66"/>
      <c r="D114" s="68"/>
      <c r="E114" s="69"/>
      <c r="F114" s="70"/>
      <c r="G114" s="71"/>
      <c r="H114" s="72"/>
      <c r="I114" s="66"/>
      <c r="J114" s="66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="67" customFormat="1" ht="21.95" customHeight="1" spans="2:21">
      <c r="B115" s="66"/>
      <c r="C115" s="66"/>
      <c r="D115" s="68"/>
      <c r="E115" s="69"/>
      <c r="F115" s="70"/>
      <c r="G115" s="71"/>
      <c r="H115" s="72"/>
      <c r="I115" s="66"/>
      <c r="J115" s="66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="67" customFormat="1" ht="21.95" customHeight="1" spans="2:21">
      <c r="B116" s="66"/>
      <c r="C116" s="66"/>
      <c r="D116" s="68"/>
      <c r="E116" s="69"/>
      <c r="F116" s="70"/>
      <c r="G116" s="71"/>
      <c r="H116" s="72"/>
      <c r="I116" s="66"/>
      <c r="J116" s="66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="67" customFormat="1" ht="21.95" customHeight="1" spans="2:21">
      <c r="B117" s="66"/>
      <c r="C117" s="66"/>
      <c r="D117" s="68"/>
      <c r="E117" s="69"/>
      <c r="F117" s="70"/>
      <c r="G117" s="71"/>
      <c r="H117" s="72"/>
      <c r="I117" s="66"/>
      <c r="J117" s="66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="67" customFormat="1" ht="21.95" customHeight="1" spans="2:21">
      <c r="B118" s="66"/>
      <c r="C118" s="66"/>
      <c r="D118" s="68"/>
      <c r="E118" s="69"/>
      <c r="F118" s="70"/>
      <c r="G118" s="71"/>
      <c r="H118" s="72"/>
      <c r="I118" s="66"/>
      <c r="J118" s="66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="67" customFormat="1" ht="21.95" customHeight="1" spans="2:21">
      <c r="B119" s="66"/>
      <c r="C119" s="66"/>
      <c r="D119" s="68"/>
      <c r="E119" s="69"/>
      <c r="F119" s="70"/>
      <c r="G119" s="71"/>
      <c r="H119" s="72"/>
      <c r="I119" s="66"/>
      <c r="J119" s="66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="67" customFormat="1" ht="21.95" customHeight="1" spans="2:21">
      <c r="B120" s="66"/>
      <c r="C120" s="66"/>
      <c r="D120" s="68"/>
      <c r="E120" s="69"/>
      <c r="F120" s="70"/>
      <c r="G120" s="71"/>
      <c r="H120" s="72"/>
      <c r="I120" s="66"/>
      <c r="J120" s="66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="67" customFormat="1" ht="21.95" customHeight="1" spans="2:21">
      <c r="B121" s="66"/>
      <c r="C121" s="66"/>
      <c r="D121" s="68"/>
      <c r="E121" s="69"/>
      <c r="F121" s="70"/>
      <c r="G121" s="71"/>
      <c r="H121" s="72"/>
      <c r="I121" s="66"/>
      <c r="J121" s="66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="67" customFormat="1" ht="21.95" customHeight="1" spans="2:21">
      <c r="B122" s="66"/>
      <c r="C122" s="66"/>
      <c r="D122" s="68"/>
      <c r="E122" s="69"/>
      <c r="F122" s="70"/>
      <c r="G122" s="71"/>
      <c r="H122" s="72"/>
      <c r="I122" s="66"/>
      <c r="J122" s="66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="67" customFormat="1" ht="21.95" customHeight="1" spans="2:21">
      <c r="B123" s="66"/>
      <c r="C123" s="66"/>
      <c r="D123" s="68"/>
      <c r="E123" s="69"/>
      <c r="F123" s="70"/>
      <c r="G123" s="71"/>
      <c r="H123" s="72"/>
      <c r="I123" s="66"/>
      <c r="J123" s="66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="67" customFormat="1" ht="21.95" customHeight="1" spans="2:21">
      <c r="B124" s="66"/>
      <c r="C124" s="66"/>
      <c r="D124" s="68"/>
      <c r="E124" s="69"/>
      <c r="F124" s="70"/>
      <c r="G124" s="71"/>
      <c r="H124" s="72"/>
      <c r="I124" s="66"/>
      <c r="J124" s="66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="67" customFormat="1" ht="21.95" customHeight="1" spans="2:21">
      <c r="B125" s="66"/>
      <c r="C125" s="66"/>
      <c r="D125" s="68"/>
      <c r="E125" s="69"/>
      <c r="F125" s="70"/>
      <c r="G125" s="71"/>
      <c r="H125" s="72"/>
      <c r="I125" s="66"/>
      <c r="J125" s="66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="67" customFormat="1" ht="21.95" customHeight="1" spans="2:21">
      <c r="B126" s="66"/>
      <c r="C126" s="66"/>
      <c r="D126" s="68"/>
      <c r="E126" s="69"/>
      <c r="F126" s="70"/>
      <c r="G126" s="71"/>
      <c r="H126" s="72"/>
      <c r="I126" s="66"/>
      <c r="J126" s="66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="67" customFormat="1" ht="21.95" customHeight="1" spans="2:21">
      <c r="B127" s="66"/>
      <c r="C127" s="66"/>
      <c r="D127" s="68"/>
      <c r="E127" s="69"/>
      <c r="F127" s="70"/>
      <c r="G127" s="71"/>
      <c r="H127" s="72"/>
      <c r="I127" s="66"/>
      <c r="J127" s="66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="67" customFormat="1" ht="21.95" customHeight="1" spans="2:21">
      <c r="B128" s="66"/>
      <c r="C128" s="66"/>
      <c r="D128" s="68"/>
      <c r="E128" s="69"/>
      <c r="F128" s="70"/>
      <c r="G128" s="71"/>
      <c r="H128" s="72"/>
      <c r="I128" s="66"/>
      <c r="J128" s="66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="67" customFormat="1" ht="21.95" customHeight="1" spans="2:21">
      <c r="B129" s="66"/>
      <c r="C129" s="66"/>
      <c r="D129" s="68"/>
      <c r="E129" s="69"/>
      <c r="F129" s="70"/>
      <c r="G129" s="71"/>
      <c r="H129" s="72"/>
      <c r="I129" s="66"/>
      <c r="J129" s="66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="67" customFormat="1" ht="21.95" customHeight="1" spans="2:21">
      <c r="B130" s="66"/>
      <c r="C130" s="66"/>
      <c r="D130" s="68"/>
      <c r="E130" s="69"/>
      <c r="F130" s="70"/>
      <c r="G130" s="71"/>
      <c r="H130" s="72"/>
      <c r="I130" s="66"/>
      <c r="J130" s="66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="67" customFormat="1" ht="21.95" customHeight="1" spans="2:21">
      <c r="B131" s="66"/>
      <c r="C131" s="66"/>
      <c r="D131" s="68"/>
      <c r="E131" s="69"/>
      <c r="F131" s="70"/>
      <c r="G131" s="71"/>
      <c r="H131" s="72"/>
      <c r="I131" s="66"/>
      <c r="J131" s="66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="67" customFormat="1" ht="21.95" customHeight="1" spans="2:21">
      <c r="B132" s="66"/>
      <c r="C132" s="66"/>
      <c r="D132" s="68"/>
      <c r="E132" s="69"/>
      <c r="F132" s="70"/>
      <c r="G132" s="71"/>
      <c r="H132" s="72"/>
      <c r="I132" s="66"/>
      <c r="J132" s="66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="67" customFormat="1" ht="21.95" customHeight="1" spans="2:21">
      <c r="B133" s="66"/>
      <c r="C133" s="66"/>
      <c r="D133" s="68"/>
      <c r="E133" s="69"/>
      <c r="F133" s="70"/>
      <c r="G133" s="71"/>
      <c r="H133" s="72"/>
      <c r="I133" s="66"/>
      <c r="J133" s="66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</sheetData>
  <mergeCells count="5">
    <mergeCell ref="A1:J1"/>
    <mergeCell ref="C2:G2"/>
    <mergeCell ref="H2:J2"/>
    <mergeCell ref="A2:A3"/>
    <mergeCell ref="B2:B3"/>
  </mergeCells>
  <printOptions horizontalCentered="1"/>
  <pageMargins left="0.589583333333333" right="0.589583333333333" top="0.0395833333333333" bottom="0.789583333333333" header="0.509722222222222" footer="0.509722222222222"/>
  <pageSetup paperSize="9" scale="72" firstPageNumber="4" fitToHeight="0" orientation="portrait" useFirstPageNumber="1" horizontalDpi="600" verticalDpi="60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U118"/>
  <sheetViews>
    <sheetView tabSelected="1" view="pageBreakPreview" zoomScaleNormal="85" zoomScaleSheetLayoutView="100" workbookViewId="0">
      <selection activeCell="B36" sqref="B36"/>
    </sheetView>
  </sheetViews>
  <sheetFormatPr defaultColWidth="9" defaultRowHeight="21" customHeight="1"/>
  <cols>
    <col min="1" max="1" width="6.25" style="7" customWidth="1"/>
    <col min="2" max="2" width="27.7833333333333" style="8" customWidth="1"/>
    <col min="3" max="3" width="12.5" style="9" customWidth="1"/>
    <col min="4" max="4" width="11.25" style="7" customWidth="1"/>
    <col min="5" max="5" width="10.25" style="10" customWidth="1"/>
    <col min="6" max="6" width="9.125" style="9" customWidth="1"/>
    <col min="7" max="7" width="12.3416666666667" style="11" customWidth="1"/>
    <col min="8" max="8" width="7.09166666666667" style="9" customWidth="1"/>
    <col min="9" max="9" width="10.625" style="9" customWidth="1"/>
    <col min="10" max="10" width="11.125" style="9" customWidth="1"/>
    <col min="11" max="11" width="18.125" style="9" customWidth="1"/>
    <col min="12" max="12" width="49.25" style="9" customWidth="1"/>
    <col min="13" max="13" width="9" style="9"/>
    <col min="14" max="14" width="10.375" style="9"/>
    <col min="15" max="15" width="15.125" style="9" customWidth="1"/>
    <col min="16" max="16384" width="9" style="9"/>
  </cols>
  <sheetData>
    <row r="1" ht="30" customHeight="1" spans="1:10">
      <c r="A1" s="12" t="s">
        <v>96</v>
      </c>
      <c r="B1" s="13"/>
      <c r="C1" s="12"/>
      <c r="D1" s="12"/>
      <c r="E1" s="12"/>
      <c r="F1" s="12"/>
      <c r="G1" s="12"/>
      <c r="H1" s="12"/>
      <c r="I1" s="12"/>
      <c r="J1" s="12"/>
    </row>
    <row r="2" ht="24" customHeight="1" spans="1:10">
      <c r="A2" s="14" t="s">
        <v>1</v>
      </c>
      <c r="B2" s="15" t="s">
        <v>2</v>
      </c>
      <c r="C2" s="16" t="s">
        <v>3</v>
      </c>
      <c r="D2" s="17"/>
      <c r="E2" s="17"/>
      <c r="F2" s="17"/>
      <c r="G2" s="17"/>
      <c r="H2" s="18" t="s">
        <v>4</v>
      </c>
      <c r="I2" s="18"/>
      <c r="J2" s="18"/>
    </row>
    <row r="3" s="1" customFormat="1" ht="31" customHeight="1" spans="1:10">
      <c r="A3" s="19"/>
      <c r="B3" s="20"/>
      <c r="C3" s="21" t="s">
        <v>99</v>
      </c>
      <c r="D3" s="21" t="s">
        <v>100</v>
      </c>
      <c r="E3" s="21" t="s">
        <v>101</v>
      </c>
      <c r="F3" s="21" t="s">
        <v>102</v>
      </c>
      <c r="G3" s="16" t="s">
        <v>9</v>
      </c>
      <c r="H3" s="18" t="s">
        <v>10</v>
      </c>
      <c r="I3" s="18" t="s">
        <v>11</v>
      </c>
      <c r="J3" s="18" t="s">
        <v>12</v>
      </c>
    </row>
    <row r="4" s="2" customFormat="1" ht="26" customHeight="1" spans="1:10">
      <c r="A4" s="22" t="s">
        <v>13</v>
      </c>
      <c r="B4" s="23" t="s">
        <v>14</v>
      </c>
      <c r="C4" s="24">
        <f>C5+C11+C15+C13+C17+C19+C23</f>
        <v>1224.540967</v>
      </c>
      <c r="D4" s="24">
        <f>D5+D11+D15+D13+D17+D19+D23</f>
        <v>20</v>
      </c>
      <c r="E4" s="24">
        <f>E5+E11+E15+E13+E17+E19+E23</f>
        <v>0</v>
      </c>
      <c r="F4" s="24">
        <f>F5+F11+F15+F13+F17+F19+F23</f>
        <v>0</v>
      </c>
      <c r="G4" s="24">
        <f>G5+G11+G15+G13+G17+G19+G23</f>
        <v>1244.540967</v>
      </c>
      <c r="H4" s="24" t="s">
        <v>15</v>
      </c>
      <c r="I4" s="24"/>
      <c r="J4" s="24"/>
    </row>
    <row r="5" s="2" customFormat="1" ht="26" customHeight="1" spans="1:10">
      <c r="A5" s="22">
        <v>1</v>
      </c>
      <c r="B5" s="23" t="s">
        <v>103</v>
      </c>
      <c r="C5" s="24">
        <f>C6+C7+C8+C9+C10</f>
        <v>296.644772</v>
      </c>
      <c r="D5" s="24"/>
      <c r="E5" s="24"/>
      <c r="F5" s="24"/>
      <c r="G5" s="24">
        <f>G6+G7+G8+G9+G10</f>
        <v>296.644772</v>
      </c>
      <c r="H5" s="24" t="s">
        <v>15</v>
      </c>
      <c r="I5" s="24"/>
      <c r="J5" s="24"/>
    </row>
    <row r="6" s="2" customFormat="1" ht="26" customHeight="1" spans="1:10">
      <c r="A6" s="25">
        <v>1.1</v>
      </c>
      <c r="B6" s="26" t="s">
        <v>104</v>
      </c>
      <c r="C6" s="27">
        <f>1130217.19/10000</f>
        <v>113.021719</v>
      </c>
      <c r="D6" s="28"/>
      <c r="E6" s="28"/>
      <c r="F6" s="28"/>
      <c r="G6" s="27">
        <f>C6+D6+E6+F6</f>
        <v>113.021719</v>
      </c>
      <c r="H6" s="18" t="s">
        <v>105</v>
      </c>
      <c r="I6" s="51">
        <v>21645.29</v>
      </c>
      <c r="J6" s="29">
        <f>G6/I6*10000</f>
        <v>52.2153868116343</v>
      </c>
    </row>
    <row r="7" s="2" customFormat="1" ht="26" customHeight="1" spans="1:10">
      <c r="A7" s="25">
        <v>1.2</v>
      </c>
      <c r="B7" s="26" t="s">
        <v>106</v>
      </c>
      <c r="C7" s="27">
        <f>13986.45/10000</f>
        <v>1.398645</v>
      </c>
      <c r="D7" s="28"/>
      <c r="E7" s="28"/>
      <c r="F7" s="28"/>
      <c r="G7" s="27">
        <f>C7+D7+E7+F7</f>
        <v>1.398645</v>
      </c>
      <c r="H7" s="18" t="s">
        <v>105</v>
      </c>
      <c r="I7" s="51">
        <v>483.567</v>
      </c>
      <c r="J7" s="29">
        <f>G7/I7*10000</f>
        <v>28.9234997425383</v>
      </c>
    </row>
    <row r="8" s="2" customFormat="1" ht="26" customHeight="1" spans="1:10">
      <c r="A8" s="25">
        <v>1.3</v>
      </c>
      <c r="B8" s="26" t="s">
        <v>107</v>
      </c>
      <c r="C8" s="27">
        <f>660845.81/10000</f>
        <v>66.084581</v>
      </c>
      <c r="D8" s="28"/>
      <c r="E8" s="28"/>
      <c r="F8" s="28"/>
      <c r="G8" s="27">
        <f>C8+D8+E8+F8</f>
        <v>66.084581</v>
      </c>
      <c r="H8" s="18" t="s">
        <v>105</v>
      </c>
      <c r="I8" s="51">
        <v>21645.29</v>
      </c>
      <c r="J8" s="29">
        <f>G8/I8*10000</f>
        <v>30.5306979024074</v>
      </c>
    </row>
    <row r="9" s="2" customFormat="1" ht="26" customHeight="1" spans="1:10">
      <c r="A9" s="25">
        <v>1.4</v>
      </c>
      <c r="B9" s="26" t="s">
        <v>108</v>
      </c>
      <c r="C9" s="29">
        <f>191205.88/10000</f>
        <v>19.120588</v>
      </c>
      <c r="D9" s="29"/>
      <c r="E9" s="29"/>
      <c r="F9" s="29"/>
      <c r="G9" s="27">
        <f>C9+D9+E9+F9</f>
        <v>19.120588</v>
      </c>
      <c r="H9" s="18" t="s">
        <v>109</v>
      </c>
      <c r="I9" s="51">
        <v>22440.6</v>
      </c>
      <c r="J9" s="29">
        <f>G9/I9*10000</f>
        <v>8.52053331907347</v>
      </c>
    </row>
    <row r="10" s="2" customFormat="1" ht="26" customHeight="1" spans="1:10">
      <c r="A10" s="25">
        <v>1.5</v>
      </c>
      <c r="B10" s="26" t="s">
        <v>110</v>
      </c>
      <c r="C10" s="30">
        <f>970192.39/10000</f>
        <v>97.019239</v>
      </c>
      <c r="D10" s="29"/>
      <c r="E10" s="29"/>
      <c r="F10" s="29"/>
      <c r="G10" s="27">
        <f>C10+D10+E10+F10</f>
        <v>97.019239</v>
      </c>
      <c r="H10" s="18" t="s">
        <v>105</v>
      </c>
      <c r="I10" s="51">
        <v>6732.18</v>
      </c>
      <c r="J10" s="29">
        <f>G10/I10*10000</f>
        <v>144.112663357189</v>
      </c>
    </row>
    <row r="11" s="3" customFormat="1" ht="26" customHeight="1" spans="1:10">
      <c r="A11" s="22">
        <v>2</v>
      </c>
      <c r="B11" s="23" t="s">
        <v>111</v>
      </c>
      <c r="C11" s="24">
        <f>C12</f>
        <v>441.93605</v>
      </c>
      <c r="D11" s="24"/>
      <c r="E11" s="24"/>
      <c r="F11" s="24"/>
      <c r="G11" s="24">
        <f>G12</f>
        <v>441.93605</v>
      </c>
      <c r="H11" s="24"/>
      <c r="I11" s="24"/>
      <c r="J11" s="52"/>
    </row>
    <row r="12" s="3" customFormat="1" ht="26" customHeight="1" spans="1:10">
      <c r="A12" s="25">
        <v>2.1</v>
      </c>
      <c r="B12" s="31" t="s">
        <v>111</v>
      </c>
      <c r="C12" s="29">
        <f>4419360.5/10000</f>
        <v>441.93605</v>
      </c>
      <c r="D12" s="24"/>
      <c r="E12" s="32"/>
      <c r="F12" s="24"/>
      <c r="G12" s="29">
        <f>C12+D12+E12+F12</f>
        <v>441.93605</v>
      </c>
      <c r="H12" s="18" t="s">
        <v>109</v>
      </c>
      <c r="I12" s="51">
        <v>22440.6</v>
      </c>
      <c r="J12" s="53">
        <f>G12/I12*10000</f>
        <v>196.935933085568</v>
      </c>
    </row>
    <row r="13" s="1" customFormat="1" ht="26" customHeight="1" spans="1:10">
      <c r="A13" s="22">
        <v>3</v>
      </c>
      <c r="B13" s="33" t="s">
        <v>112</v>
      </c>
      <c r="C13" s="24">
        <f>C14</f>
        <v>250.166926</v>
      </c>
      <c r="D13" s="24"/>
      <c r="E13" s="24"/>
      <c r="F13" s="24"/>
      <c r="G13" s="24">
        <f>G14</f>
        <v>250.166926</v>
      </c>
      <c r="H13" s="24" t="s">
        <v>15</v>
      </c>
      <c r="I13" s="24"/>
      <c r="J13" s="53"/>
    </row>
    <row r="14" s="1" customFormat="1" ht="26" customHeight="1" spans="1:10">
      <c r="A14" s="25">
        <v>3.1</v>
      </c>
      <c r="B14" s="34" t="s">
        <v>112</v>
      </c>
      <c r="C14" s="29">
        <f>2501669.26/10000</f>
        <v>250.166926</v>
      </c>
      <c r="D14" s="29"/>
      <c r="E14" s="29"/>
      <c r="F14" s="29"/>
      <c r="G14" s="29">
        <f>C14+D14+E14+F14</f>
        <v>250.166926</v>
      </c>
      <c r="H14" s="35" t="s">
        <v>23</v>
      </c>
      <c r="I14" s="35">
        <v>629</v>
      </c>
      <c r="J14" s="53">
        <f>E14/I14*10000</f>
        <v>0</v>
      </c>
    </row>
    <row r="15" s="1" customFormat="1" ht="26" customHeight="1" spans="1:10">
      <c r="A15" s="22">
        <v>4</v>
      </c>
      <c r="B15" s="33" t="s">
        <v>113</v>
      </c>
      <c r="C15" s="24">
        <f>C16</f>
        <v>9.972495</v>
      </c>
      <c r="D15" s="24"/>
      <c r="E15" s="24"/>
      <c r="F15" s="24"/>
      <c r="G15" s="24">
        <f>G16</f>
        <v>9.972495</v>
      </c>
      <c r="H15" s="24" t="s">
        <v>15</v>
      </c>
      <c r="I15" s="24"/>
      <c r="J15" s="53"/>
    </row>
    <row r="16" s="1" customFormat="1" ht="26" customHeight="1" spans="1:10">
      <c r="A16" s="25">
        <v>4.1</v>
      </c>
      <c r="B16" s="31" t="s">
        <v>113</v>
      </c>
      <c r="C16" s="29">
        <f>99724.95/10000</f>
        <v>9.972495</v>
      </c>
      <c r="D16" s="29"/>
      <c r="E16" s="29"/>
      <c r="F16" s="29"/>
      <c r="G16" s="32">
        <f>C16+D16+E16+F16</f>
        <v>9.972495</v>
      </c>
      <c r="H16" s="36" t="s">
        <v>39</v>
      </c>
      <c r="I16" s="35">
        <v>17</v>
      </c>
      <c r="J16" s="53">
        <f>G16/I16*10000</f>
        <v>5866.17352941176</v>
      </c>
    </row>
    <row r="17" s="2" customFormat="1" ht="26" customHeight="1" spans="1:10">
      <c r="A17" s="22">
        <v>5</v>
      </c>
      <c r="B17" s="33" t="s">
        <v>114</v>
      </c>
      <c r="C17" s="24">
        <f>C18</f>
        <v>135.422689</v>
      </c>
      <c r="D17" s="24"/>
      <c r="E17" s="24"/>
      <c r="F17" s="24"/>
      <c r="G17" s="37">
        <f>G18</f>
        <v>135.422689</v>
      </c>
      <c r="H17" s="24" t="s">
        <v>15</v>
      </c>
      <c r="I17" s="54"/>
      <c r="J17" s="52"/>
    </row>
    <row r="18" s="1" customFormat="1" ht="26" customHeight="1" spans="1:10">
      <c r="A18" s="25">
        <v>5.1</v>
      </c>
      <c r="B18" s="34" t="s">
        <v>115</v>
      </c>
      <c r="C18" s="29">
        <f>1354226.89/10000</f>
        <v>135.422689</v>
      </c>
      <c r="D18" s="29"/>
      <c r="E18" s="29"/>
      <c r="F18" s="29"/>
      <c r="G18" s="32">
        <f>C18+D18+E18+F18</f>
        <v>135.422689</v>
      </c>
      <c r="H18" s="36" t="s">
        <v>25</v>
      </c>
      <c r="I18" s="35">
        <v>20659</v>
      </c>
      <c r="J18" s="53">
        <f>G18/I18*10000</f>
        <v>65.5514250447747</v>
      </c>
    </row>
    <row r="19" s="2" customFormat="1" ht="26" customHeight="1" spans="1:10">
      <c r="A19" s="22">
        <v>6</v>
      </c>
      <c r="B19" s="33" t="s">
        <v>116</v>
      </c>
      <c r="C19" s="24">
        <f>C20+C21+C22</f>
        <v>9.907005</v>
      </c>
      <c r="D19" s="24">
        <f>D20+D21+D22</f>
        <v>20</v>
      </c>
      <c r="E19" s="24"/>
      <c r="F19" s="24"/>
      <c r="G19" s="24">
        <f>G20+G21+G22</f>
        <v>29.907005</v>
      </c>
      <c r="H19" s="38"/>
      <c r="I19" s="54"/>
      <c r="J19" s="52"/>
    </row>
    <row r="20" s="1" customFormat="1" ht="26" customHeight="1" spans="1:10">
      <c r="A20" s="25">
        <v>6.1</v>
      </c>
      <c r="B20" s="34" t="s">
        <v>117</v>
      </c>
      <c r="C20" s="29">
        <f>46333.6/10000</f>
        <v>4.63336</v>
      </c>
      <c r="D20" s="29"/>
      <c r="E20" s="29"/>
      <c r="F20" s="29"/>
      <c r="G20" s="32">
        <f>C20+D20+E20+F20</f>
        <v>4.63336</v>
      </c>
      <c r="H20" s="36" t="s">
        <v>39</v>
      </c>
      <c r="I20" s="35">
        <v>5</v>
      </c>
      <c r="J20" s="53">
        <f>G20/I20*10000</f>
        <v>9266.72</v>
      </c>
    </row>
    <row r="21" s="1" customFormat="1" ht="26" customHeight="1" spans="1:10">
      <c r="A21" s="25">
        <v>6.2</v>
      </c>
      <c r="B21" s="34" t="s">
        <v>118</v>
      </c>
      <c r="C21" s="29">
        <f>52736.45/10000</f>
        <v>5.273645</v>
      </c>
      <c r="D21" s="29"/>
      <c r="E21" s="29"/>
      <c r="F21" s="29"/>
      <c r="G21" s="32">
        <f>C21+D21+E21+F21</f>
        <v>5.273645</v>
      </c>
      <c r="H21" s="36" t="s">
        <v>39</v>
      </c>
      <c r="I21" s="35">
        <v>3</v>
      </c>
      <c r="J21" s="53">
        <f>G21/I21*10000</f>
        <v>17578.8166666667</v>
      </c>
    </row>
    <row r="22" s="1" customFormat="1" ht="26" customHeight="1" spans="1:10">
      <c r="A22" s="25">
        <v>6.3</v>
      </c>
      <c r="B22" s="34" t="s">
        <v>119</v>
      </c>
      <c r="C22" s="29"/>
      <c r="D22" s="29">
        <f>200000/10000</f>
        <v>20</v>
      </c>
      <c r="E22" s="29"/>
      <c r="F22" s="29"/>
      <c r="G22" s="32">
        <f>C22+D22+E22+F22</f>
        <v>20</v>
      </c>
      <c r="H22" s="36" t="s">
        <v>120</v>
      </c>
      <c r="I22" s="35">
        <v>1</v>
      </c>
      <c r="J22" s="53">
        <f>G22/I22*10000</f>
        <v>200000</v>
      </c>
    </row>
    <row r="23" s="2" customFormat="1" ht="26" customHeight="1" spans="1:10">
      <c r="A23" s="22">
        <v>7</v>
      </c>
      <c r="B23" s="33" t="s">
        <v>121</v>
      </c>
      <c r="C23" s="24">
        <f>C24+C25+C26+C27+C28</f>
        <v>80.49103</v>
      </c>
      <c r="D23" s="24"/>
      <c r="E23" s="24"/>
      <c r="F23" s="24"/>
      <c r="G23" s="37">
        <f>G24+G25+G26+G27+G28</f>
        <v>80.49103</v>
      </c>
      <c r="H23" s="38"/>
      <c r="I23" s="54"/>
      <c r="J23" s="52"/>
    </row>
    <row r="24" s="1" customFormat="1" ht="26" customHeight="1" spans="1:10">
      <c r="A24" s="25">
        <v>7.1</v>
      </c>
      <c r="B24" s="34" t="s">
        <v>122</v>
      </c>
      <c r="C24" s="29">
        <f>165010.3/10000</f>
        <v>16.50103</v>
      </c>
      <c r="D24" s="29"/>
      <c r="E24" s="29"/>
      <c r="F24" s="29"/>
      <c r="G24" s="32">
        <f>C24+D24+E24+F24</f>
        <v>16.50103</v>
      </c>
      <c r="H24" s="18" t="s">
        <v>109</v>
      </c>
      <c r="I24" s="35">
        <v>1065</v>
      </c>
      <c r="J24" s="53">
        <f>G24/I24*10000</f>
        <v>154.939248826291</v>
      </c>
    </row>
    <row r="25" s="1" customFormat="1" ht="26" customHeight="1" spans="1:10">
      <c r="A25" s="25">
        <v>7.2</v>
      </c>
      <c r="B25" s="34" t="s">
        <v>123</v>
      </c>
      <c r="C25" s="29">
        <f>32700/10000</f>
        <v>3.27</v>
      </c>
      <c r="D25" s="29"/>
      <c r="E25" s="29"/>
      <c r="F25" s="29"/>
      <c r="G25" s="32">
        <f>C25+D25+E25+F25</f>
        <v>3.27</v>
      </c>
      <c r="H25" s="36" t="s">
        <v>39</v>
      </c>
      <c r="I25" s="35">
        <v>2</v>
      </c>
      <c r="J25" s="53">
        <f>G25/I25*10000</f>
        <v>16350</v>
      </c>
    </row>
    <row r="26" s="1" customFormat="1" ht="26" customHeight="1" spans="1:10">
      <c r="A26" s="25">
        <v>7.3</v>
      </c>
      <c r="B26" s="34" t="s">
        <v>124</v>
      </c>
      <c r="C26" s="29">
        <f>1500*100/10000</f>
        <v>15</v>
      </c>
      <c r="D26" s="29"/>
      <c r="E26" s="29"/>
      <c r="F26" s="29"/>
      <c r="G26" s="32">
        <f>C26+D26+E26+F26</f>
        <v>15</v>
      </c>
      <c r="H26" s="36" t="s">
        <v>39</v>
      </c>
      <c r="I26" s="35">
        <v>1</v>
      </c>
      <c r="J26" s="53">
        <f>G26/I26*10000</f>
        <v>150000</v>
      </c>
    </row>
    <row r="27" s="1" customFormat="1" ht="26" customHeight="1" spans="1:10">
      <c r="A27" s="25">
        <v>7.4</v>
      </c>
      <c r="B27" s="34" t="s">
        <v>125</v>
      </c>
      <c r="C27" s="29">
        <f>4200*60/10000</f>
        <v>25.2</v>
      </c>
      <c r="D27" s="29"/>
      <c r="E27" s="29"/>
      <c r="F27" s="29"/>
      <c r="G27" s="32">
        <f>C27+D27+E27+F27</f>
        <v>25.2</v>
      </c>
      <c r="H27" s="36" t="s">
        <v>109</v>
      </c>
      <c r="I27" s="35">
        <v>32.4</v>
      </c>
      <c r="J27" s="53">
        <f>G27/I27*10000</f>
        <v>7777.77777777778</v>
      </c>
    </row>
    <row r="28" s="1" customFormat="1" ht="26" customHeight="1" spans="1:10">
      <c r="A28" s="25">
        <v>7.5</v>
      </c>
      <c r="B28" s="34" t="s">
        <v>126</v>
      </c>
      <c r="C28" s="29">
        <f>380*540/10000</f>
        <v>20.52</v>
      </c>
      <c r="D28" s="29"/>
      <c r="E28" s="29"/>
      <c r="F28" s="29"/>
      <c r="G28" s="32">
        <f>C28+D28+E28+F28</f>
        <v>20.52</v>
      </c>
      <c r="H28" s="36" t="s">
        <v>23</v>
      </c>
      <c r="I28" s="35">
        <v>540</v>
      </c>
      <c r="J28" s="53">
        <f>G28/I28*10000</f>
        <v>380</v>
      </c>
    </row>
    <row r="29" s="2" customFormat="1" ht="26" customHeight="1" spans="1:19">
      <c r="A29" s="39" t="s">
        <v>63</v>
      </c>
      <c r="B29" s="23" t="s">
        <v>8</v>
      </c>
      <c r="C29" s="24">
        <f>SUM(C30:C39)</f>
        <v>85.03948427511</v>
      </c>
      <c r="D29" s="24"/>
      <c r="E29" s="24"/>
      <c r="F29" s="24"/>
      <c r="G29" s="24">
        <f>SUM(G30:G39)</f>
        <v>85.03948427511</v>
      </c>
      <c r="H29" s="24" t="s">
        <v>15</v>
      </c>
      <c r="I29" s="24"/>
      <c r="J29" s="24"/>
      <c r="M29" s="1"/>
      <c r="N29" s="1"/>
      <c r="O29" s="1"/>
      <c r="P29" s="1"/>
      <c r="Q29" s="1"/>
      <c r="R29" s="1"/>
      <c r="S29" s="1"/>
    </row>
    <row r="30" s="1" customFormat="1" ht="26" customHeight="1" spans="1:13">
      <c r="A30" s="40">
        <v>1</v>
      </c>
      <c r="B30" s="41" t="s">
        <v>65</v>
      </c>
      <c r="C30" s="29">
        <f t="shared" ref="C30:C40" si="0">I30*J30</f>
        <v>14.934491604</v>
      </c>
      <c r="D30" s="29"/>
      <c r="E30" s="29"/>
      <c r="F30" s="29"/>
      <c r="G30" s="42">
        <f t="shared" ref="G30:G40" si="1">C30</f>
        <v>14.934491604</v>
      </c>
      <c r="H30" s="29" t="s">
        <v>15</v>
      </c>
      <c r="I30" s="29">
        <f>G4</f>
        <v>1244.540967</v>
      </c>
      <c r="J30" s="55">
        <v>0.012</v>
      </c>
      <c r="K30" s="56"/>
      <c r="L30" s="2"/>
      <c r="M30" s="2"/>
    </row>
    <row r="31" s="2" customFormat="1" ht="26" customHeight="1" spans="1:21">
      <c r="A31" s="40">
        <v>2</v>
      </c>
      <c r="B31" s="41" t="s">
        <v>94</v>
      </c>
      <c r="C31" s="29">
        <f t="shared" si="0"/>
        <v>5.6004343515</v>
      </c>
      <c r="D31" s="29"/>
      <c r="E31" s="29"/>
      <c r="F31" s="29"/>
      <c r="G31" s="42">
        <f t="shared" si="1"/>
        <v>5.6004343515</v>
      </c>
      <c r="H31" s="29" t="s">
        <v>15</v>
      </c>
      <c r="I31" s="29">
        <f>I30</f>
        <v>1244.540967</v>
      </c>
      <c r="J31" s="55">
        <v>0.0045</v>
      </c>
      <c r="N31" s="1"/>
      <c r="O31" s="1"/>
      <c r="P31" s="1"/>
      <c r="Q31" s="1"/>
      <c r="R31" s="1"/>
      <c r="S31" s="1"/>
      <c r="T31" s="1"/>
      <c r="U31" s="1"/>
    </row>
    <row r="32" s="2" customFormat="1" ht="24" customHeight="1" spans="1:21">
      <c r="A32" s="40">
        <v>3</v>
      </c>
      <c r="B32" s="41" t="s">
        <v>67</v>
      </c>
      <c r="C32" s="29">
        <f t="shared" si="0"/>
        <v>6.222704835</v>
      </c>
      <c r="D32" s="29"/>
      <c r="E32" s="29"/>
      <c r="F32" s="29"/>
      <c r="G32" s="42">
        <f t="shared" si="1"/>
        <v>6.222704835</v>
      </c>
      <c r="H32" s="29" t="s">
        <v>15</v>
      </c>
      <c r="I32" s="29">
        <f>I30</f>
        <v>1244.540967</v>
      </c>
      <c r="J32" s="55">
        <v>0.005</v>
      </c>
      <c r="N32" s="1"/>
      <c r="O32" s="1"/>
      <c r="P32" s="1"/>
      <c r="Q32" s="1"/>
      <c r="R32" s="1"/>
      <c r="S32" s="1"/>
      <c r="T32" s="1"/>
      <c r="U32" s="1"/>
    </row>
    <row r="33" s="2" customFormat="1" ht="24" customHeight="1" spans="1:21">
      <c r="A33" s="40">
        <v>4</v>
      </c>
      <c r="B33" s="41" t="s">
        <v>68</v>
      </c>
      <c r="C33" s="29">
        <f t="shared" si="0"/>
        <v>3.733622901</v>
      </c>
      <c r="D33" s="29"/>
      <c r="E33" s="29"/>
      <c r="F33" s="29"/>
      <c r="G33" s="42">
        <f t="shared" si="1"/>
        <v>3.733622901</v>
      </c>
      <c r="H33" s="29" t="s">
        <v>15</v>
      </c>
      <c r="I33" s="29">
        <f>I30</f>
        <v>1244.540967</v>
      </c>
      <c r="J33" s="55">
        <v>0.003</v>
      </c>
      <c r="N33" s="1"/>
      <c r="O33" s="1"/>
      <c r="P33" s="1"/>
      <c r="Q33" s="1"/>
      <c r="R33" s="1"/>
      <c r="S33" s="1"/>
      <c r="T33" s="1"/>
      <c r="U33" s="1"/>
    </row>
    <row r="34" s="1" customFormat="1" ht="24" customHeight="1" spans="1:14">
      <c r="A34" s="40">
        <v>5</v>
      </c>
      <c r="B34" s="41" t="s">
        <v>127</v>
      </c>
      <c r="C34" s="29">
        <f t="shared" si="0"/>
        <v>31.113524175</v>
      </c>
      <c r="D34" s="29"/>
      <c r="E34" s="29"/>
      <c r="F34" s="29"/>
      <c r="G34" s="42">
        <f t="shared" si="1"/>
        <v>31.113524175</v>
      </c>
      <c r="H34" s="29" t="s">
        <v>15</v>
      </c>
      <c r="I34" s="29">
        <f>I30</f>
        <v>1244.540967</v>
      </c>
      <c r="J34" s="55">
        <v>0.025</v>
      </c>
      <c r="L34" s="2"/>
      <c r="M34" s="2"/>
      <c r="N34" s="57"/>
    </row>
    <row r="35" s="1" customFormat="1" ht="24" customHeight="1" spans="1:13">
      <c r="A35" s="40">
        <v>6</v>
      </c>
      <c r="B35" s="41" t="s">
        <v>70</v>
      </c>
      <c r="C35" s="29">
        <f t="shared" si="0"/>
        <v>1.68013030545</v>
      </c>
      <c r="D35" s="29"/>
      <c r="E35" s="29"/>
      <c r="F35" s="29"/>
      <c r="G35" s="42">
        <f t="shared" si="1"/>
        <v>1.68013030545</v>
      </c>
      <c r="H35" s="29" t="s">
        <v>15</v>
      </c>
      <c r="I35" s="29">
        <f>G34+G32</f>
        <v>37.33622901</v>
      </c>
      <c r="J35" s="55">
        <v>0.045</v>
      </c>
      <c r="L35" s="2"/>
      <c r="M35" s="2"/>
    </row>
    <row r="36" s="1" customFormat="1" ht="24" customHeight="1" spans="1:13">
      <c r="A36" s="40">
        <v>7</v>
      </c>
      <c r="B36" s="41" t="s">
        <v>95</v>
      </c>
      <c r="C36" s="29">
        <f t="shared" si="0"/>
        <v>6.07335991896</v>
      </c>
      <c r="D36" s="29"/>
      <c r="E36" s="29"/>
      <c r="F36" s="29"/>
      <c r="G36" s="42">
        <f t="shared" si="1"/>
        <v>6.07335991896</v>
      </c>
      <c r="H36" s="29" t="s">
        <v>15</v>
      </c>
      <c r="I36" s="29">
        <f>I31</f>
        <v>1244.540967</v>
      </c>
      <c r="J36" s="55">
        <f>0.8*0.61%</f>
        <v>0.00488</v>
      </c>
      <c r="L36" s="2"/>
      <c r="M36" s="2"/>
    </row>
    <row r="37" s="1" customFormat="1" ht="24" customHeight="1" spans="1:13">
      <c r="A37" s="40">
        <v>8</v>
      </c>
      <c r="B37" s="41" t="s">
        <v>128</v>
      </c>
      <c r="C37" s="29">
        <f t="shared" si="0"/>
        <v>6.7205212218</v>
      </c>
      <c r="D37" s="29"/>
      <c r="E37" s="29"/>
      <c r="F37" s="29"/>
      <c r="G37" s="42">
        <f t="shared" si="1"/>
        <v>6.7205212218</v>
      </c>
      <c r="H37" s="29" t="s">
        <v>15</v>
      </c>
      <c r="I37" s="29">
        <f>I32</f>
        <v>1244.540967</v>
      </c>
      <c r="J37" s="55">
        <v>0.0054</v>
      </c>
      <c r="L37" s="2"/>
      <c r="M37" s="2"/>
    </row>
    <row r="38" s="4" customFormat="1" ht="24" customHeight="1" spans="1:19">
      <c r="A38" s="40">
        <v>9</v>
      </c>
      <c r="B38" s="41" t="s">
        <v>129</v>
      </c>
      <c r="C38" s="29">
        <f t="shared" si="0"/>
        <v>4.4803474812</v>
      </c>
      <c r="D38" s="29"/>
      <c r="E38" s="29"/>
      <c r="F38" s="29"/>
      <c r="G38" s="42">
        <f t="shared" si="1"/>
        <v>4.4803474812</v>
      </c>
      <c r="H38" s="29" t="s">
        <v>15</v>
      </c>
      <c r="I38" s="29">
        <f>I33</f>
        <v>1244.540967</v>
      </c>
      <c r="J38" s="55">
        <v>0.0036</v>
      </c>
      <c r="L38" s="5"/>
      <c r="M38" s="2"/>
      <c r="N38" s="1"/>
      <c r="O38" s="1"/>
      <c r="P38" s="1"/>
      <c r="Q38" s="1"/>
      <c r="R38" s="1"/>
      <c r="S38" s="1"/>
    </row>
    <row r="39" s="4" customFormat="1" ht="24" customHeight="1" spans="1:19">
      <c r="A39" s="40">
        <v>10</v>
      </c>
      <c r="B39" s="41" t="s">
        <v>130</v>
      </c>
      <c r="C39" s="29">
        <f t="shared" si="0"/>
        <v>4.4803474812</v>
      </c>
      <c r="D39" s="29"/>
      <c r="E39" s="29"/>
      <c r="F39" s="29"/>
      <c r="G39" s="42">
        <f t="shared" si="1"/>
        <v>4.4803474812</v>
      </c>
      <c r="H39" s="29" t="s">
        <v>15</v>
      </c>
      <c r="I39" s="29">
        <f>I34</f>
        <v>1244.540967</v>
      </c>
      <c r="J39" s="55">
        <v>0.0036</v>
      </c>
      <c r="L39" s="5"/>
      <c r="M39" s="2"/>
      <c r="N39" s="1"/>
      <c r="O39" s="1"/>
      <c r="P39" s="1"/>
      <c r="Q39" s="1"/>
      <c r="R39" s="1"/>
      <c r="S39" s="1"/>
    </row>
    <row r="40" s="5" customFormat="1" ht="24" customHeight="1" spans="1:19">
      <c r="A40" s="43" t="s">
        <v>76</v>
      </c>
      <c r="B40" s="23" t="s">
        <v>77</v>
      </c>
      <c r="C40" s="24">
        <f t="shared" si="0"/>
        <v>66.4790225637555</v>
      </c>
      <c r="D40" s="24"/>
      <c r="E40" s="24"/>
      <c r="F40" s="24"/>
      <c r="G40" s="44">
        <f t="shared" si="1"/>
        <v>66.4790225637555</v>
      </c>
      <c r="H40" s="24" t="s">
        <v>15</v>
      </c>
      <c r="I40" s="28">
        <f>G4+G29</f>
        <v>1329.58045127511</v>
      </c>
      <c r="J40" s="58">
        <v>0.05</v>
      </c>
      <c r="M40" s="1"/>
      <c r="N40" s="1"/>
      <c r="O40" s="1"/>
      <c r="P40" s="1"/>
      <c r="Q40" s="1"/>
      <c r="R40" s="1"/>
      <c r="S40" s="1"/>
    </row>
    <row r="41" s="6" customFormat="1" ht="24" customHeight="1" spans="1:19">
      <c r="A41" s="43" t="s">
        <v>78</v>
      </c>
      <c r="B41" s="23" t="s">
        <v>131</v>
      </c>
      <c r="C41" s="24">
        <f>C4</f>
        <v>1224.540967</v>
      </c>
      <c r="D41" s="24">
        <f>D4</f>
        <v>20</v>
      </c>
      <c r="E41" s="24">
        <f>E4</f>
        <v>0</v>
      </c>
      <c r="F41" s="24">
        <f>G40+G29</f>
        <v>151.518506838866</v>
      </c>
      <c r="G41" s="24">
        <f>C41+D41+E41+F41</f>
        <v>1396.05947383887</v>
      </c>
      <c r="H41" s="24" t="s">
        <v>15</v>
      </c>
      <c r="I41" s="24"/>
      <c r="J41" s="24"/>
      <c r="M41" s="1"/>
      <c r="N41" s="1"/>
      <c r="O41" s="1"/>
      <c r="P41" s="1"/>
      <c r="Q41" s="1"/>
      <c r="R41" s="1"/>
      <c r="S41" s="1"/>
    </row>
    <row r="42" ht="21.95" customHeight="1" spans="1:19">
      <c r="A42" s="45"/>
      <c r="B42" s="46"/>
      <c r="C42" s="47"/>
      <c r="D42" s="45"/>
      <c r="E42" s="48"/>
      <c r="F42" s="49"/>
      <c r="G42" s="49"/>
      <c r="H42" s="47"/>
      <c r="M42" s="1"/>
      <c r="N42" s="1"/>
      <c r="O42" s="1"/>
      <c r="P42" s="1"/>
      <c r="Q42" s="1"/>
      <c r="R42" s="1"/>
      <c r="S42" s="1"/>
    </row>
    <row r="43" ht="21.95" customHeight="1" spans="1:19">
      <c r="A43" s="45"/>
      <c r="B43" s="50"/>
      <c r="C43" s="1"/>
      <c r="D43" s="1"/>
      <c r="E43" s="1"/>
      <c r="F43" s="1"/>
      <c r="G43" s="1"/>
      <c r="H43" s="1"/>
      <c r="I43" s="1"/>
      <c r="M43" s="1"/>
      <c r="N43" s="1"/>
      <c r="O43" s="1"/>
      <c r="P43" s="1"/>
      <c r="Q43" s="1"/>
      <c r="R43" s="1"/>
      <c r="S43" s="1"/>
    </row>
    <row r="44" ht="21.95" customHeight="1" spans="1:8">
      <c r="A44" s="45"/>
      <c r="B44" s="46"/>
      <c r="C44" s="47"/>
      <c r="D44" s="45"/>
      <c r="E44" s="48"/>
      <c r="F44" s="47"/>
      <c r="G44" s="49"/>
      <c r="H44" s="47"/>
    </row>
    <row r="45" ht="21.95" customHeight="1" spans="1:8">
      <c r="A45" s="45"/>
      <c r="B45" s="46"/>
      <c r="C45" s="47"/>
      <c r="D45" s="45"/>
      <c r="E45" s="48"/>
      <c r="F45" s="47"/>
      <c r="G45" s="49"/>
      <c r="H45" s="47"/>
    </row>
    <row r="46" ht="21.95" customHeight="1" spans="1:8">
      <c r="A46" s="45"/>
      <c r="B46" s="46"/>
      <c r="C46" s="47"/>
      <c r="D46" s="45"/>
      <c r="E46" s="48"/>
      <c r="F46" s="47"/>
      <c r="G46" s="49"/>
      <c r="H46" s="47"/>
    </row>
    <row r="47" ht="21.95" customHeight="1" spans="1:8">
      <c r="A47" s="45"/>
      <c r="B47" s="46"/>
      <c r="C47" s="47"/>
      <c r="D47" s="45"/>
      <c r="E47" s="48"/>
      <c r="F47" s="47"/>
      <c r="G47" s="49"/>
      <c r="H47" s="47"/>
    </row>
    <row r="48" ht="21.95" customHeight="1" spans="1:8">
      <c r="A48" s="45"/>
      <c r="B48" s="46"/>
      <c r="C48" s="47"/>
      <c r="D48" s="45"/>
      <c r="E48" s="48"/>
      <c r="F48" s="47"/>
      <c r="G48" s="49"/>
      <c r="H48" s="47"/>
    </row>
    <row r="49" ht="21.95" customHeight="1" spans="1:8">
      <c r="A49" s="45"/>
      <c r="B49" s="46"/>
      <c r="C49" s="47"/>
      <c r="D49" s="45"/>
      <c r="E49" s="48"/>
      <c r="F49" s="47"/>
      <c r="G49" s="49"/>
      <c r="H49" s="47"/>
    </row>
    <row r="50" ht="21.95" customHeight="1" spans="1:8">
      <c r="A50" s="45"/>
      <c r="B50" s="46"/>
      <c r="C50" s="47"/>
      <c r="D50" s="45"/>
      <c r="E50" s="48"/>
      <c r="F50" s="47"/>
      <c r="G50" s="49"/>
      <c r="H50" s="47"/>
    </row>
    <row r="51" ht="21.95" customHeight="1" spans="1:8">
      <c r="A51" s="45"/>
      <c r="B51" s="46"/>
      <c r="C51" s="47"/>
      <c r="D51" s="45"/>
      <c r="E51" s="48"/>
      <c r="F51" s="47"/>
      <c r="G51" s="49"/>
      <c r="H51" s="47"/>
    </row>
    <row r="52" ht="21.95" customHeight="1" spans="1:8">
      <c r="A52" s="45"/>
      <c r="B52" s="46"/>
      <c r="C52" s="47"/>
      <c r="D52" s="45"/>
      <c r="E52" s="48"/>
      <c r="F52" s="47"/>
      <c r="G52" s="49"/>
      <c r="H52" s="47"/>
    </row>
    <row r="53" ht="21.95" customHeight="1" spans="1:8">
      <c r="A53" s="45"/>
      <c r="B53" s="46"/>
      <c r="C53" s="47"/>
      <c r="D53" s="45"/>
      <c r="E53" s="48"/>
      <c r="F53" s="47"/>
      <c r="G53" s="49"/>
      <c r="H53" s="47"/>
    </row>
    <row r="54" ht="21.95" customHeight="1" spans="1:8">
      <c r="A54" s="45"/>
      <c r="B54" s="46"/>
      <c r="C54" s="47"/>
      <c r="D54" s="45"/>
      <c r="E54" s="48"/>
      <c r="F54" s="47"/>
      <c r="G54" s="49"/>
      <c r="H54" s="47"/>
    </row>
    <row r="55" ht="21.95" customHeight="1" spans="1:8">
      <c r="A55" s="45"/>
      <c r="B55" s="46"/>
      <c r="C55" s="47"/>
      <c r="D55" s="45"/>
      <c r="E55" s="48"/>
      <c r="F55" s="47"/>
      <c r="G55" s="49"/>
      <c r="H55" s="47"/>
    </row>
    <row r="56" ht="21.95" customHeight="1" spans="1:8">
      <c r="A56" s="45"/>
      <c r="B56" s="46"/>
      <c r="C56" s="47"/>
      <c r="D56" s="45"/>
      <c r="E56" s="48"/>
      <c r="F56" s="47"/>
      <c r="G56" s="49"/>
      <c r="H56" s="47"/>
    </row>
    <row r="57" ht="21.95" customHeight="1" spans="1:8">
      <c r="A57" s="45"/>
      <c r="B57" s="46"/>
      <c r="C57" s="47"/>
      <c r="D57" s="45"/>
      <c r="E57" s="48"/>
      <c r="F57" s="47"/>
      <c r="G57" s="49"/>
      <c r="H57" s="47"/>
    </row>
    <row r="58" ht="21.95" customHeight="1" spans="1:8">
      <c r="A58" s="45"/>
      <c r="B58" s="46"/>
      <c r="C58" s="47"/>
      <c r="D58" s="45"/>
      <c r="E58" s="48"/>
      <c r="F58" s="47"/>
      <c r="G58" s="49"/>
      <c r="H58" s="47"/>
    </row>
    <row r="59" ht="21.95" customHeight="1" spans="1:8">
      <c r="A59" s="45"/>
      <c r="B59" s="46"/>
      <c r="C59" s="47"/>
      <c r="D59" s="45"/>
      <c r="E59" s="48"/>
      <c r="F59" s="47"/>
      <c r="G59" s="49"/>
      <c r="H59" s="47"/>
    </row>
    <row r="60" ht="21.95" customHeight="1" spans="1:8">
      <c r="A60" s="45"/>
      <c r="B60" s="46"/>
      <c r="C60" s="47"/>
      <c r="D60" s="45"/>
      <c r="E60" s="48"/>
      <c r="F60" s="47"/>
      <c r="G60" s="49"/>
      <c r="H60" s="47"/>
    </row>
    <row r="61" ht="21.95" customHeight="1" spans="1:8">
      <c r="A61" s="45"/>
      <c r="B61" s="46"/>
      <c r="C61" s="47"/>
      <c r="D61" s="45"/>
      <c r="E61" s="48"/>
      <c r="F61" s="47"/>
      <c r="G61" s="49"/>
      <c r="H61" s="47"/>
    </row>
    <row r="62" ht="21.95" customHeight="1" spans="1:8">
      <c r="A62" s="45"/>
      <c r="B62" s="46"/>
      <c r="C62" s="47"/>
      <c r="D62" s="45"/>
      <c r="E62" s="48"/>
      <c r="F62" s="47"/>
      <c r="G62" s="49"/>
      <c r="H62" s="47"/>
    </row>
    <row r="63" ht="21.95" customHeight="1" spans="1:8">
      <c r="A63" s="45"/>
      <c r="B63" s="46"/>
      <c r="C63" s="47"/>
      <c r="D63" s="45"/>
      <c r="E63" s="48"/>
      <c r="F63" s="47"/>
      <c r="G63" s="49"/>
      <c r="H63" s="47"/>
    </row>
    <row r="64" ht="21.95" customHeight="1" spans="1:8">
      <c r="A64" s="45"/>
      <c r="B64" s="46"/>
      <c r="C64" s="47"/>
      <c r="D64" s="45"/>
      <c r="E64" s="48"/>
      <c r="F64" s="47"/>
      <c r="G64" s="49"/>
      <c r="H64" s="47"/>
    </row>
    <row r="65" ht="21.95" customHeight="1" spans="1:8">
      <c r="A65" s="45"/>
      <c r="B65" s="46"/>
      <c r="C65" s="47"/>
      <c r="D65" s="45"/>
      <c r="E65" s="48"/>
      <c r="F65" s="47"/>
      <c r="G65" s="49"/>
      <c r="H65" s="47"/>
    </row>
    <row r="66" ht="21.95" customHeight="1" spans="1:8">
      <c r="A66" s="45"/>
      <c r="B66" s="46"/>
      <c r="C66" s="47"/>
      <c r="D66" s="45"/>
      <c r="E66" s="48"/>
      <c r="F66" s="47"/>
      <c r="G66" s="49"/>
      <c r="H66" s="47"/>
    </row>
    <row r="67" ht="21.95" customHeight="1" spans="1:8">
      <c r="A67" s="45"/>
      <c r="B67" s="46"/>
      <c r="C67" s="47"/>
      <c r="D67" s="45"/>
      <c r="E67" s="48"/>
      <c r="F67" s="47"/>
      <c r="G67" s="49"/>
      <c r="H67" s="47"/>
    </row>
    <row r="68" ht="21.95" customHeight="1" spans="1:8">
      <c r="A68" s="45"/>
      <c r="B68" s="46"/>
      <c r="C68" s="47"/>
      <c r="D68" s="45"/>
      <c r="E68" s="48"/>
      <c r="F68" s="47"/>
      <c r="G68" s="49"/>
      <c r="H68" s="47"/>
    </row>
    <row r="69" ht="21.95" customHeight="1" spans="1:8">
      <c r="A69" s="45"/>
      <c r="B69" s="46"/>
      <c r="C69" s="47"/>
      <c r="D69" s="45"/>
      <c r="E69" s="48"/>
      <c r="F69" s="47"/>
      <c r="G69" s="49"/>
      <c r="H69" s="47"/>
    </row>
    <row r="70" ht="21.95" customHeight="1" spans="1:8">
      <c r="A70" s="45"/>
      <c r="B70" s="46"/>
      <c r="C70" s="47"/>
      <c r="D70" s="45"/>
      <c r="E70" s="48"/>
      <c r="F70" s="47"/>
      <c r="G70" s="49"/>
      <c r="H70" s="47"/>
    </row>
    <row r="71" ht="21.95" customHeight="1" spans="1:8">
      <c r="A71" s="45"/>
      <c r="B71" s="46"/>
      <c r="C71" s="47"/>
      <c r="D71" s="45"/>
      <c r="E71" s="48"/>
      <c r="F71" s="47"/>
      <c r="G71" s="49"/>
      <c r="H71" s="47"/>
    </row>
    <row r="72" ht="21.95" customHeight="1" spans="1:8">
      <c r="A72" s="45"/>
      <c r="B72" s="46"/>
      <c r="C72" s="47"/>
      <c r="D72" s="45"/>
      <c r="E72" s="48"/>
      <c r="F72" s="47"/>
      <c r="G72" s="49"/>
      <c r="H72" s="47"/>
    </row>
    <row r="73" ht="21.95" customHeight="1" spans="1:8">
      <c r="A73" s="45"/>
      <c r="B73" s="46"/>
      <c r="C73" s="47"/>
      <c r="D73" s="45"/>
      <c r="E73" s="48"/>
      <c r="F73" s="47"/>
      <c r="G73" s="49"/>
      <c r="H73" s="47"/>
    </row>
    <row r="74" ht="21.95" customHeight="1" spans="1:8">
      <c r="A74" s="45"/>
      <c r="B74" s="46"/>
      <c r="C74" s="47"/>
      <c r="D74" s="45"/>
      <c r="E74" s="48"/>
      <c r="F74" s="47"/>
      <c r="G74" s="49"/>
      <c r="H74" s="47"/>
    </row>
    <row r="75" ht="21.95" customHeight="1" spans="1:8">
      <c r="A75" s="45"/>
      <c r="B75" s="46"/>
      <c r="C75" s="47"/>
      <c r="D75" s="45"/>
      <c r="E75" s="48"/>
      <c r="F75" s="47"/>
      <c r="G75" s="49"/>
      <c r="H75" s="47"/>
    </row>
    <row r="76" ht="21.95" customHeight="1" spans="1:8">
      <c r="A76" s="45"/>
      <c r="B76" s="46"/>
      <c r="C76" s="47"/>
      <c r="D76" s="45"/>
      <c r="E76" s="48"/>
      <c r="F76" s="47"/>
      <c r="G76" s="49"/>
      <c r="H76" s="47"/>
    </row>
    <row r="77" ht="21.95" customHeight="1" spans="1:8">
      <c r="A77" s="45"/>
      <c r="B77" s="46"/>
      <c r="C77" s="47"/>
      <c r="D77" s="45"/>
      <c r="E77" s="48"/>
      <c r="F77" s="47"/>
      <c r="G77" s="49"/>
      <c r="H77" s="47"/>
    </row>
    <row r="78" ht="21.95" customHeight="1" spans="1:8">
      <c r="A78" s="45"/>
      <c r="B78" s="46"/>
      <c r="C78" s="47"/>
      <c r="D78" s="45"/>
      <c r="E78" s="48"/>
      <c r="F78" s="47"/>
      <c r="G78" s="49"/>
      <c r="H78" s="47"/>
    </row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s="7" customFormat="1" ht="21.95" customHeight="1" spans="2:21">
      <c r="B90" s="8"/>
      <c r="C90" s="9"/>
      <c r="E90" s="10"/>
      <c r="F90" s="9"/>
      <c r="G90" s="1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="7" customFormat="1" ht="21.95" customHeight="1" spans="2:21">
      <c r="B91" s="8"/>
      <c r="C91" s="9"/>
      <c r="E91" s="10"/>
      <c r="F91" s="9"/>
      <c r="G91" s="11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="7" customFormat="1" ht="21.95" customHeight="1" spans="2:21">
      <c r="B92" s="8"/>
      <c r="C92" s="9"/>
      <c r="E92" s="10"/>
      <c r="F92" s="9"/>
      <c r="G92" s="11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="7" customFormat="1" ht="21.95" customHeight="1" spans="2:21">
      <c r="B93" s="8"/>
      <c r="C93" s="9"/>
      <c r="E93" s="10"/>
      <c r="F93" s="9"/>
      <c r="G93" s="11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="7" customFormat="1" ht="21.95" customHeight="1" spans="2:21">
      <c r="B94" s="8"/>
      <c r="C94" s="9"/>
      <c r="E94" s="10"/>
      <c r="F94" s="9"/>
      <c r="G94" s="11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="7" customFormat="1" ht="21.95" customHeight="1" spans="2:21">
      <c r="B95" s="8"/>
      <c r="C95" s="9"/>
      <c r="E95" s="10"/>
      <c r="F95" s="9"/>
      <c r="G95" s="1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="7" customFormat="1" ht="21.95" customHeight="1" spans="2:21">
      <c r="B96" s="8"/>
      <c r="C96" s="9"/>
      <c r="E96" s="10"/>
      <c r="F96" s="9"/>
      <c r="G96" s="11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="7" customFormat="1" ht="21.95" customHeight="1" spans="2:21">
      <c r="B97" s="8"/>
      <c r="C97" s="9"/>
      <c r="E97" s="10"/>
      <c r="F97" s="9"/>
      <c r="G97" s="11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="7" customFormat="1" ht="21.95" customHeight="1" spans="2:21">
      <c r="B98" s="8"/>
      <c r="C98" s="9"/>
      <c r="E98" s="10"/>
      <c r="F98" s="9"/>
      <c r="G98" s="11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="7" customFormat="1" ht="21.95" customHeight="1" spans="2:21">
      <c r="B99" s="8"/>
      <c r="C99" s="9"/>
      <c r="E99" s="10"/>
      <c r="F99" s="9"/>
      <c r="G99" s="11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="7" customFormat="1" ht="21.95" customHeight="1" spans="2:21">
      <c r="B100" s="8"/>
      <c r="C100" s="9"/>
      <c r="E100" s="10"/>
      <c r="F100" s="9"/>
      <c r="G100" s="11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="7" customFormat="1" ht="21.95" customHeight="1" spans="2:21">
      <c r="B101" s="8"/>
      <c r="C101" s="9"/>
      <c r="E101" s="10"/>
      <c r="F101" s="9"/>
      <c r="G101" s="11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="7" customFormat="1" ht="21.95" customHeight="1" spans="2:21">
      <c r="B102" s="8"/>
      <c r="C102" s="9"/>
      <c r="E102" s="10"/>
      <c r="F102" s="9"/>
      <c r="G102" s="11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="7" customFormat="1" ht="21.95" customHeight="1" spans="2:21">
      <c r="B103" s="8"/>
      <c r="C103" s="9"/>
      <c r="E103" s="10"/>
      <c r="F103" s="9"/>
      <c r="G103" s="11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="7" customFormat="1" ht="21.95" customHeight="1" spans="2:21">
      <c r="B104" s="8"/>
      <c r="C104" s="9"/>
      <c r="E104" s="10"/>
      <c r="F104" s="9"/>
      <c r="G104" s="11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="7" customFormat="1" ht="21.95" customHeight="1" spans="2:21">
      <c r="B105" s="8"/>
      <c r="C105" s="9"/>
      <c r="E105" s="10"/>
      <c r="F105" s="9"/>
      <c r="G105" s="11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="7" customFormat="1" ht="21.95" customHeight="1" spans="2:21">
      <c r="B106" s="8"/>
      <c r="C106" s="9"/>
      <c r="E106" s="10"/>
      <c r="F106" s="9"/>
      <c r="G106" s="11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="7" customFormat="1" ht="21.95" customHeight="1" spans="2:21">
      <c r="B107" s="8"/>
      <c r="C107" s="9"/>
      <c r="E107" s="10"/>
      <c r="F107" s="9"/>
      <c r="G107" s="11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="7" customFormat="1" ht="21.95" customHeight="1" spans="2:21">
      <c r="B108" s="8"/>
      <c r="C108" s="9"/>
      <c r="E108" s="10"/>
      <c r="F108" s="9"/>
      <c r="G108" s="11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="7" customFormat="1" ht="21.95" customHeight="1" spans="2:21">
      <c r="B109" s="8"/>
      <c r="C109" s="9"/>
      <c r="E109" s="10"/>
      <c r="F109" s="9"/>
      <c r="G109" s="11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="7" customFormat="1" ht="21.95" customHeight="1" spans="2:21">
      <c r="B110" s="8"/>
      <c r="C110" s="9"/>
      <c r="E110" s="10"/>
      <c r="F110" s="9"/>
      <c r="G110" s="11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="7" customFormat="1" ht="21.95" customHeight="1" spans="2:21">
      <c r="B111" s="8"/>
      <c r="C111" s="9"/>
      <c r="E111" s="10"/>
      <c r="F111" s="9"/>
      <c r="G111" s="11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="7" customFormat="1" ht="21.95" customHeight="1" spans="2:21">
      <c r="B112" s="8"/>
      <c r="C112" s="9"/>
      <c r="E112" s="10"/>
      <c r="F112" s="9"/>
      <c r="G112" s="11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="7" customFormat="1" ht="21.95" customHeight="1" spans="2:21">
      <c r="B113" s="8"/>
      <c r="C113" s="9"/>
      <c r="E113" s="10"/>
      <c r="F113" s="9"/>
      <c r="G113" s="11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="7" customFormat="1" ht="21.95" customHeight="1" spans="2:21">
      <c r="B114" s="8"/>
      <c r="C114" s="9"/>
      <c r="E114" s="10"/>
      <c r="F114" s="9"/>
      <c r="G114" s="11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="7" customFormat="1" ht="21.95" customHeight="1" spans="2:21">
      <c r="B115" s="8"/>
      <c r="C115" s="9"/>
      <c r="E115" s="10"/>
      <c r="F115" s="9"/>
      <c r="G115" s="1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="7" customFormat="1" ht="21.95" customHeight="1" spans="2:21">
      <c r="B116" s="8"/>
      <c r="C116" s="9"/>
      <c r="E116" s="10"/>
      <c r="F116" s="9"/>
      <c r="G116" s="11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="7" customFormat="1" ht="21.95" customHeight="1" spans="2:21">
      <c r="B117" s="8"/>
      <c r="C117" s="9"/>
      <c r="E117" s="10"/>
      <c r="F117" s="9"/>
      <c r="G117" s="11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="7" customFormat="1" ht="21.95" customHeight="1" spans="2:21">
      <c r="B118" s="8"/>
      <c r="C118" s="9"/>
      <c r="E118" s="10"/>
      <c r="F118" s="9"/>
      <c r="G118" s="11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</sheetData>
  <mergeCells count="5">
    <mergeCell ref="A1:J1"/>
    <mergeCell ref="C2:G2"/>
    <mergeCell ref="H2:J2"/>
    <mergeCell ref="A2:A3"/>
    <mergeCell ref="B2:B3"/>
  </mergeCells>
  <printOptions horizontalCentered="1"/>
  <pageMargins left="0.589583333333333" right="0.589583333333333" top="0.707638888888889" bottom="0.590277777777778" header="0.590277777777778" footer="0.393055555555556"/>
  <pageSetup paperSize="9" scale="69" firstPageNumber="4" fitToHeight="0" orientation="portrait" useFirstPageNumber="1" horizontalDpi="600" vertic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明细</vt:lpstr>
      <vt:lpstr>明细 (3.4)</vt:lpstr>
      <vt:lpstr>明细 (3.4) (打印)</vt:lpstr>
      <vt:lpstr>明细 (3.5) (打印) </vt:lpstr>
      <vt:lpstr>明细 (4.8)</vt:lpstr>
      <vt:lpstr>明细 (4.8) (2)</vt:lpstr>
      <vt:lpstr>明细（4.14）-去雨水</vt:lpstr>
      <vt:lpstr>明细初设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Administrator</cp:lastModifiedBy>
  <cp:revision>1</cp:revision>
  <dcterms:created xsi:type="dcterms:W3CDTF">2003-04-14T03:55:00Z</dcterms:created>
  <cp:lastPrinted>2015-03-17T07:26:00Z</cp:lastPrinted>
  <dcterms:modified xsi:type="dcterms:W3CDTF">2021-07-30T01:23:08Z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153B353F747F4104B5EACEB2231738A3</vt:lpwstr>
  </property>
</Properties>
</file>