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 tabRatio="298"/>
  </bookViews>
  <sheets>
    <sheet name="1" sheetId="5" r:id="rId1"/>
  </sheets>
  <definedNames>
    <definedName name="_xlnm._FilterDatabase" localSheetId="0" hidden="1">'1'!$A$1:$K$90</definedName>
    <definedName name="_xlnm.Print_Titles" localSheetId="0">'1'!$1:$3</definedName>
  </definedNames>
  <calcPr calcId="144525" concurrentCalc="0"/>
</workbook>
</file>

<file path=xl/sharedStrings.xml><?xml version="1.0" encoding="utf-8"?>
<sst xmlns="http://schemas.openxmlformats.org/spreadsheetml/2006/main" count="94">
  <si>
    <t>投   资   概   算    表</t>
  </si>
  <si>
    <t>序号</t>
  </si>
  <si>
    <t>工程或费用名称</t>
  </si>
  <si>
    <t xml:space="preserve"> 概  算  金  额（万元）</t>
  </si>
  <si>
    <t>技术经济指标（元）</t>
  </si>
  <si>
    <t>备注</t>
  </si>
  <si>
    <t>土建
工程费</t>
  </si>
  <si>
    <t>设备
购置费</t>
  </si>
  <si>
    <t>安装
工程费</t>
  </si>
  <si>
    <t>其它
费用</t>
  </si>
  <si>
    <t>合计</t>
  </si>
  <si>
    <t>单位</t>
  </si>
  <si>
    <t>数量</t>
  </si>
  <si>
    <t>指标</t>
  </si>
  <si>
    <t>一</t>
  </si>
  <si>
    <t>工程费用</t>
  </si>
  <si>
    <t>万元</t>
  </si>
  <si>
    <t>(一)</t>
  </si>
  <si>
    <t>一级管网工程</t>
  </si>
  <si>
    <t>单长1080</t>
  </si>
  <si>
    <t>螺纹焊聚乙烯聚氨酯保温管DN400</t>
  </si>
  <si>
    <t>m</t>
  </si>
  <si>
    <t>螺纹焊聚乙烯聚氨酯保温管DN350</t>
  </si>
  <si>
    <t>补偿器及补偿器井室</t>
  </si>
  <si>
    <t>座</t>
  </si>
  <si>
    <t>阀门井</t>
  </si>
  <si>
    <t>拆除恢复沥青路面（37灰土垫层）</t>
  </si>
  <si>
    <t>m2</t>
  </si>
  <si>
    <t>拆除恢复混凝土路面（37灰土垫层）</t>
  </si>
  <si>
    <t>拆除恢复人行道（37灰土垫层）</t>
  </si>
  <si>
    <t>小计</t>
  </si>
  <si>
    <t>(二)</t>
  </si>
  <si>
    <t>海原县2021年集中供热二级管网工程</t>
  </si>
  <si>
    <t>单长2361</t>
  </si>
  <si>
    <t>螺纹焊聚乙烯聚氨酯保温管(DN70-DN450)</t>
  </si>
  <si>
    <t>个</t>
  </si>
  <si>
    <t>拆除恢复大理石路面（37灰土垫层）</t>
  </si>
  <si>
    <t>小   计</t>
  </si>
  <si>
    <t>(三)</t>
  </si>
  <si>
    <t>新建换热站2座</t>
  </si>
  <si>
    <t>R7/4(格兰丽都)换热站-40万平方米</t>
  </si>
  <si>
    <t>土建及设备</t>
  </si>
  <si>
    <t>拆除原有彩钢板房</t>
  </si>
  <si>
    <t>土建及装饰装修</t>
  </si>
  <si>
    <t>设备基础</t>
  </si>
  <si>
    <t>工艺及设备</t>
  </si>
  <si>
    <t>配电系统</t>
  </si>
  <si>
    <t>给水排水</t>
  </si>
  <si>
    <t>自控仪表及监控系统</t>
  </si>
  <si>
    <t>自控设备</t>
  </si>
  <si>
    <t>弯管流量计</t>
  </si>
  <si>
    <t>视频监控部分</t>
  </si>
  <si>
    <t>R4'/3(海盛府城)换热站-45万平方米</t>
  </si>
  <si>
    <t>工艺及设备（2套系统）</t>
  </si>
  <si>
    <t>(四)</t>
  </si>
  <si>
    <t>改造换热站</t>
  </si>
  <si>
    <t>R1/4（五中）换热站</t>
  </si>
  <si>
    <t>R1/4（五中）换热站设备改造</t>
  </si>
  <si>
    <t>配电系统（含室外箱变250kva）</t>
  </si>
  <si>
    <t>R2/3（牛羊肉市场）换热站</t>
  </si>
  <si>
    <t>R2/3（牛羊肉市场）换热站设备改造</t>
  </si>
  <si>
    <t>配电系统（含室外箱变400kva）</t>
  </si>
  <si>
    <t>R10/1（四季花城）换热站</t>
  </si>
  <si>
    <t>R10/1（四季花城）换热站设备改造</t>
  </si>
  <si>
    <t>R10/1（四季花城）配电系统改造</t>
  </si>
  <si>
    <t>R8/3（富民花园）换热站</t>
  </si>
  <si>
    <t>R8/3（富民花园）换热站设备改造</t>
  </si>
  <si>
    <t>R8/3（富民花园）配电系统改造</t>
  </si>
  <si>
    <t>R4/3（花儿府邸）换热站</t>
  </si>
  <si>
    <t>R4/3（花儿府邸）换热站设备改造</t>
  </si>
  <si>
    <t>R4/3（花儿府邸）配电系统改造</t>
  </si>
  <si>
    <t>3个换热站更换板式换热器</t>
  </si>
  <si>
    <t>室内地面修整及室外排水</t>
  </si>
  <si>
    <t>室内地面修整（砂浆地面）</t>
  </si>
  <si>
    <t>室外排水</t>
  </si>
  <si>
    <t>拆除及恢复混凝土路面</t>
  </si>
  <si>
    <t>二</t>
  </si>
  <si>
    <t>工程建设其它费用</t>
  </si>
  <si>
    <t>工程监理费</t>
  </si>
  <si>
    <t>招标服务费</t>
  </si>
  <si>
    <t>设计费</t>
  </si>
  <si>
    <t>勘察费</t>
  </si>
  <si>
    <t>工程测绘</t>
  </si>
  <si>
    <t>编制清单及招标控制价</t>
  </si>
  <si>
    <t>编制竣工结算</t>
  </si>
  <si>
    <t>勘察设计审查费</t>
  </si>
  <si>
    <t>环境影响报告书编制及评审费</t>
  </si>
  <si>
    <t>节能评估费</t>
  </si>
  <si>
    <t>三</t>
  </si>
  <si>
    <r>
      <t xml:space="preserve"> </t>
    </r>
    <r>
      <rPr>
        <b/>
        <sz val="10"/>
        <rFont val="宋体"/>
        <charset val="134"/>
      </rPr>
      <t>预备费</t>
    </r>
  </si>
  <si>
    <t>四</t>
  </si>
  <si>
    <t>项目总投资</t>
  </si>
  <si>
    <t>五</t>
  </si>
  <si>
    <t>投资比(%)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</si>
</sst>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176" formatCode="0.0000_);[Red]\(0.0000\)"/>
    <numFmt numFmtId="177" formatCode="0_);[Red]\(0\)"/>
    <numFmt numFmtId="42" formatCode="_ &quot;￥&quot;* #,##0_ ;_ &quot;￥&quot;* \-#,##0_ ;_ &quot;￥&quot;* &quot;-&quot;_ ;_ @_ "/>
    <numFmt numFmtId="178" formatCode="0.00_);[Red]\(0.00\)"/>
    <numFmt numFmtId="43" formatCode="_ * #,##0.00_ ;_ * \-#,##0.00_ ;_ * &quot;-&quot;??_ ;_ @_ "/>
    <numFmt numFmtId="179" formatCode="0.0_);\(0.0\)"/>
    <numFmt numFmtId="41" formatCode="_ * #,##0_ ;_ * \-#,##0_ ;_ * &quot;-&quot;_ ;_ @_ "/>
    <numFmt numFmtId="180" formatCode="0_);\(0\)"/>
    <numFmt numFmtId="181" formatCode="0.00_ "/>
  </numFmts>
  <fonts count="27">
    <font>
      <sz val="12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2"/>
      <name val="Times New Roman"/>
      <charset val="0"/>
    </font>
    <font>
      <sz val="18"/>
      <name val="方正小标宋_GBK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4">
    <xf numFmtId="0" fontId="0" fillId="0" borderId="0"/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/>
  </cellStyleXfs>
  <cellXfs count="66">
    <xf numFmtId="0" fontId="0" fillId="0" borderId="0" xfId="0"/>
    <xf numFmtId="178" fontId="1" fillId="0" borderId="0" xfId="0" applyNumberFormat="1" applyFont="1" applyFill="1"/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/>
    <xf numFmtId="178" fontId="2" fillId="0" borderId="0" xfId="0" applyNumberFormat="1" applyFont="1" applyFill="1" applyBorder="1"/>
    <xf numFmtId="178" fontId="4" fillId="0" borderId="0" xfId="0" applyNumberFormat="1" applyFont="1" applyFill="1"/>
    <xf numFmtId="0" fontId="2" fillId="0" borderId="0" xfId="0" applyFont="1" applyFill="1"/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/>
    <xf numFmtId="0" fontId="0" fillId="0" borderId="0" xfId="0" applyFont="1" applyFill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left"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78" fontId="3" fillId="0" borderId="5" xfId="0" applyNumberFormat="1" applyFont="1" applyFill="1" applyBorder="1" applyAlignment="1">
      <alignment horizontal="right" vertical="center" wrapText="1"/>
    </xf>
    <xf numFmtId="178" fontId="3" fillId="0" borderId="7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 wrapText="1"/>
    </xf>
    <xf numFmtId="178" fontId="2" fillId="0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10" fontId="3" fillId="0" borderId="5" xfId="12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5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right" vertical="center"/>
    </xf>
  </cellXfs>
  <cellStyles count="54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 4" xfId="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0"/>
  <sheetViews>
    <sheetView tabSelected="1" zoomScale="85" zoomScaleNormal="85" topLeftCell="A4" workbookViewId="0">
      <selection activeCell="A4" sqref="$A1:$XFD1048576"/>
    </sheetView>
  </sheetViews>
  <sheetFormatPr defaultColWidth="9" defaultRowHeight="21" customHeight="1"/>
  <cols>
    <col min="1" max="1" width="5" style="7" customWidth="1"/>
    <col min="2" max="2" width="21.6166666666667" style="8" customWidth="1"/>
    <col min="3" max="3" width="8.675" style="8" customWidth="1"/>
    <col min="4" max="4" width="7.78333333333333" style="9" customWidth="1"/>
    <col min="5" max="5" width="7.78333333333333" style="10" customWidth="1"/>
    <col min="6" max="6" width="7.89166666666667" style="11" customWidth="1"/>
    <col min="7" max="7" width="8.75" style="12" customWidth="1"/>
    <col min="8" max="8" width="6.675" style="13" customWidth="1"/>
    <col min="9" max="9" width="9.55833333333333" style="8" customWidth="1"/>
    <col min="10" max="10" width="9.26666666666667" style="8" customWidth="1"/>
    <col min="11" max="11" width="9" style="14" customWidth="1"/>
    <col min="12" max="12" width="9.25" style="13"/>
    <col min="13" max="15" width="10.375" style="13"/>
    <col min="16" max="16" width="12.625" style="13"/>
    <col min="17" max="16384" width="9" style="13"/>
  </cols>
  <sheetData>
    <row r="1" ht="30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1" customFormat="1" ht="30" customHeight="1" spans="1:11">
      <c r="A2" s="16" t="s">
        <v>1</v>
      </c>
      <c r="B2" s="17" t="s">
        <v>2</v>
      </c>
      <c r="C2" s="18" t="s">
        <v>3</v>
      </c>
      <c r="D2" s="19"/>
      <c r="E2" s="19"/>
      <c r="F2" s="19"/>
      <c r="G2" s="19"/>
      <c r="H2" s="20" t="s">
        <v>4</v>
      </c>
      <c r="I2" s="20"/>
      <c r="J2" s="20"/>
      <c r="K2" s="40" t="s">
        <v>5</v>
      </c>
    </row>
    <row r="3" s="2" customFormat="1" ht="36" customHeight="1" spans="1:11">
      <c r="A3" s="21"/>
      <c r="B3" s="22"/>
      <c r="C3" s="23" t="s">
        <v>6</v>
      </c>
      <c r="D3" s="23" t="s">
        <v>7</v>
      </c>
      <c r="E3" s="23" t="s">
        <v>8</v>
      </c>
      <c r="F3" s="23" t="s">
        <v>9</v>
      </c>
      <c r="G3" s="18" t="s">
        <v>10</v>
      </c>
      <c r="H3" s="20" t="s">
        <v>11</v>
      </c>
      <c r="I3" s="20" t="s">
        <v>12</v>
      </c>
      <c r="J3" s="20" t="s">
        <v>13</v>
      </c>
      <c r="K3" s="41"/>
    </row>
    <row r="4" s="3" customFormat="1" ht="35" customHeight="1" spans="1:11">
      <c r="A4" s="24" t="s">
        <v>14</v>
      </c>
      <c r="B4" s="25" t="s">
        <v>15</v>
      </c>
      <c r="C4" s="26">
        <f>C5+C14+C22+C50</f>
        <v>1093.178</v>
      </c>
      <c r="D4" s="26">
        <f>D5+D14+D22+D50</f>
        <v>987.66362672</v>
      </c>
      <c r="E4" s="26">
        <f>E5+E14+E22+E50</f>
        <v>469.42372528</v>
      </c>
      <c r="F4" s="26"/>
      <c r="G4" s="26">
        <f>C4+D4+E4</f>
        <v>2550.265352</v>
      </c>
      <c r="H4" s="26" t="s">
        <v>16</v>
      </c>
      <c r="I4" s="26"/>
      <c r="J4" s="26"/>
      <c r="K4" s="42"/>
    </row>
    <row r="5" s="3" customFormat="1" ht="35" customHeight="1" spans="1:11">
      <c r="A5" s="24" t="s">
        <v>17</v>
      </c>
      <c r="B5" s="27" t="s">
        <v>18</v>
      </c>
      <c r="C5" s="28">
        <f>C13</f>
        <v>327.79</v>
      </c>
      <c r="D5" s="28">
        <f>D13</f>
        <v>0</v>
      </c>
      <c r="E5" s="28">
        <f>E13</f>
        <v>197.75</v>
      </c>
      <c r="F5" s="29"/>
      <c r="G5" s="28">
        <f>C5+D5+E5</f>
        <v>525.54</v>
      </c>
      <c r="H5" s="26" t="s">
        <v>16</v>
      </c>
      <c r="I5" s="26">
        <f>I6+I7</f>
        <v>2160</v>
      </c>
      <c r="J5" s="26">
        <f>G5/I5*10000</f>
        <v>2433.05555555556</v>
      </c>
      <c r="K5" s="20" t="s">
        <v>19</v>
      </c>
    </row>
    <row r="6" s="3" customFormat="1" ht="35" customHeight="1" spans="1:11">
      <c r="A6" s="30">
        <v>1</v>
      </c>
      <c r="B6" s="31" t="s">
        <v>20</v>
      </c>
      <c r="C6" s="32">
        <v>134.53</v>
      </c>
      <c r="D6" s="29"/>
      <c r="E6" s="33">
        <v>149.63</v>
      </c>
      <c r="F6" s="29"/>
      <c r="G6" s="32">
        <f>C6+E6</f>
        <v>284.16</v>
      </c>
      <c r="H6" s="34" t="s">
        <v>21</v>
      </c>
      <c r="I6" s="36">
        <f>793*2</f>
        <v>1586</v>
      </c>
      <c r="J6" s="43">
        <f t="shared" ref="J6:J12" si="0">G6/I6*10000</f>
        <v>1791.67717528373</v>
      </c>
      <c r="K6" s="44"/>
    </row>
    <row r="7" s="3" customFormat="1" ht="35" customHeight="1" spans="1:11">
      <c r="A7" s="30">
        <v>2</v>
      </c>
      <c r="B7" s="31" t="s">
        <v>22</v>
      </c>
      <c r="C7" s="32">
        <v>44.62</v>
      </c>
      <c r="D7" s="29"/>
      <c r="E7" s="33">
        <v>48.12</v>
      </c>
      <c r="F7" s="29"/>
      <c r="G7" s="32">
        <f>C7+E7</f>
        <v>92.74</v>
      </c>
      <c r="H7" s="34" t="s">
        <v>21</v>
      </c>
      <c r="I7" s="36">
        <f>287*2</f>
        <v>574</v>
      </c>
      <c r="J7" s="43">
        <f t="shared" si="0"/>
        <v>1615.67944250871</v>
      </c>
      <c r="K7" s="44"/>
    </row>
    <row r="8" s="3" customFormat="1" ht="35" customHeight="1" spans="1:11">
      <c r="A8" s="30">
        <v>3</v>
      </c>
      <c r="B8" s="31" t="s">
        <v>23</v>
      </c>
      <c r="C8" s="32">
        <f t="shared" ref="C8:C12" si="1">G8</f>
        <v>29.51</v>
      </c>
      <c r="D8" s="29"/>
      <c r="E8" s="33"/>
      <c r="F8" s="29"/>
      <c r="G8" s="32">
        <v>29.51</v>
      </c>
      <c r="H8" s="34" t="s">
        <v>24</v>
      </c>
      <c r="I8" s="36">
        <v>18</v>
      </c>
      <c r="J8" s="43">
        <f t="shared" si="0"/>
        <v>16394.4444444444</v>
      </c>
      <c r="K8" s="44"/>
    </row>
    <row r="9" s="3" customFormat="1" ht="35" customHeight="1" spans="1:11">
      <c r="A9" s="30">
        <v>4</v>
      </c>
      <c r="B9" s="31" t="s">
        <v>25</v>
      </c>
      <c r="C9" s="32">
        <f t="shared" si="1"/>
        <v>27.41</v>
      </c>
      <c r="D9" s="29"/>
      <c r="E9" s="33"/>
      <c r="F9" s="29"/>
      <c r="G9" s="32">
        <v>27.41</v>
      </c>
      <c r="H9" s="34" t="s">
        <v>24</v>
      </c>
      <c r="I9" s="36">
        <v>18</v>
      </c>
      <c r="J9" s="43">
        <f t="shared" si="0"/>
        <v>15227.7777777778</v>
      </c>
      <c r="K9" s="44"/>
    </row>
    <row r="10" s="3" customFormat="1" ht="35" customHeight="1" spans="1:11">
      <c r="A10" s="30">
        <v>5</v>
      </c>
      <c r="B10" s="31" t="s">
        <v>26</v>
      </c>
      <c r="C10" s="32">
        <f t="shared" si="1"/>
        <v>24.19</v>
      </c>
      <c r="D10" s="29"/>
      <c r="E10" s="33"/>
      <c r="F10" s="29"/>
      <c r="G10" s="32">
        <v>24.19</v>
      </c>
      <c r="H10" s="34" t="s">
        <v>27</v>
      </c>
      <c r="I10" s="36">
        <v>774</v>
      </c>
      <c r="J10" s="43">
        <f t="shared" si="0"/>
        <v>312.532299741602</v>
      </c>
      <c r="K10" s="44"/>
    </row>
    <row r="11" s="3" customFormat="1" ht="35" customHeight="1" spans="1:11">
      <c r="A11" s="30">
        <v>6</v>
      </c>
      <c r="B11" s="31" t="s">
        <v>28</v>
      </c>
      <c r="C11" s="32">
        <f t="shared" si="1"/>
        <v>55.89</v>
      </c>
      <c r="D11" s="29"/>
      <c r="E11" s="33"/>
      <c r="F11" s="29"/>
      <c r="G11" s="32">
        <v>55.89</v>
      </c>
      <c r="H11" s="34" t="s">
        <v>27</v>
      </c>
      <c r="I11" s="36">
        <f>48.6+2045</f>
        <v>2093.6</v>
      </c>
      <c r="J11" s="43">
        <f t="shared" si="0"/>
        <v>266.956438670233</v>
      </c>
      <c r="K11" s="44"/>
    </row>
    <row r="12" s="3" customFormat="1" ht="35" customHeight="1" spans="1:11">
      <c r="A12" s="30">
        <v>7</v>
      </c>
      <c r="B12" s="31" t="s">
        <v>29</v>
      </c>
      <c r="C12" s="32">
        <f t="shared" si="1"/>
        <v>11.64</v>
      </c>
      <c r="D12" s="29"/>
      <c r="E12" s="33"/>
      <c r="F12" s="29"/>
      <c r="G12" s="32">
        <v>11.64</v>
      </c>
      <c r="H12" s="34" t="s">
        <v>27</v>
      </c>
      <c r="I12" s="36">
        <v>540</v>
      </c>
      <c r="J12" s="43">
        <f t="shared" si="0"/>
        <v>215.555555555556</v>
      </c>
      <c r="K12" s="44"/>
    </row>
    <row r="13" s="3" customFormat="1" ht="35" customHeight="1" spans="1:11">
      <c r="A13" s="30"/>
      <c r="B13" s="31" t="s">
        <v>30</v>
      </c>
      <c r="C13" s="32">
        <f t="shared" ref="C13:G13" si="2">SUM(C6:C12)</f>
        <v>327.79</v>
      </c>
      <c r="D13" s="32">
        <f t="shared" si="2"/>
        <v>0</v>
      </c>
      <c r="E13" s="32">
        <f t="shared" si="2"/>
        <v>197.75</v>
      </c>
      <c r="F13" s="29"/>
      <c r="G13" s="32">
        <f t="shared" si="2"/>
        <v>525.54</v>
      </c>
      <c r="H13" s="34" t="s">
        <v>16</v>
      </c>
      <c r="I13" s="36"/>
      <c r="J13" s="43"/>
      <c r="K13" s="44"/>
    </row>
    <row r="14" s="3" customFormat="1" ht="35" customHeight="1" spans="1:11">
      <c r="A14" s="24" t="s">
        <v>31</v>
      </c>
      <c r="B14" s="27" t="s">
        <v>32</v>
      </c>
      <c r="C14" s="28">
        <f>C21</f>
        <v>417.766</v>
      </c>
      <c r="D14" s="28">
        <f>D21</f>
        <v>0</v>
      </c>
      <c r="E14" s="28">
        <f>E21</f>
        <v>90.438</v>
      </c>
      <c r="F14" s="29"/>
      <c r="G14" s="28">
        <f>C14+D14+E14</f>
        <v>508.204</v>
      </c>
      <c r="H14" s="26" t="s">
        <v>16</v>
      </c>
      <c r="I14" s="26">
        <f>2361*2</f>
        <v>4722</v>
      </c>
      <c r="J14" s="26">
        <f>G14/I14*10000</f>
        <v>1076.2473528166</v>
      </c>
      <c r="K14" s="20" t="s">
        <v>33</v>
      </c>
    </row>
    <row r="15" s="3" customFormat="1" ht="35" customHeight="1" spans="1:11">
      <c r="A15" s="30">
        <v>1</v>
      </c>
      <c r="B15" s="31" t="s">
        <v>34</v>
      </c>
      <c r="C15" s="32">
        <v>317.61</v>
      </c>
      <c r="D15" s="29"/>
      <c r="E15" s="33">
        <v>53.95</v>
      </c>
      <c r="F15" s="29"/>
      <c r="G15" s="32">
        <f>C15+E15</f>
        <v>371.56</v>
      </c>
      <c r="H15" s="34" t="s">
        <v>21</v>
      </c>
      <c r="I15" s="36">
        <v>4722</v>
      </c>
      <c r="J15" s="43">
        <f t="shared" ref="J15:J19" si="3">G15/I15*10000</f>
        <v>786.869970351546</v>
      </c>
      <c r="K15" s="44"/>
    </row>
    <row r="16" s="3" customFormat="1" ht="35" customHeight="1" spans="1:11">
      <c r="A16" s="30">
        <v>2</v>
      </c>
      <c r="B16" s="31" t="s">
        <v>23</v>
      </c>
      <c r="C16" s="32">
        <f>G16*0.2</f>
        <v>9.122</v>
      </c>
      <c r="D16" s="29"/>
      <c r="E16" s="33">
        <f>G16-C16</f>
        <v>36.488</v>
      </c>
      <c r="F16" s="29"/>
      <c r="G16" s="32">
        <v>45.61</v>
      </c>
      <c r="H16" s="34" t="s">
        <v>35</v>
      </c>
      <c r="I16" s="36">
        <v>18</v>
      </c>
      <c r="J16" s="43">
        <f t="shared" si="3"/>
        <v>25338.8888888889</v>
      </c>
      <c r="K16" s="45"/>
    </row>
    <row r="17" s="3" customFormat="1" ht="35" customHeight="1" spans="1:11">
      <c r="A17" s="30">
        <v>3</v>
      </c>
      <c r="B17" s="31" t="s">
        <v>25</v>
      </c>
      <c r="C17" s="32">
        <f t="shared" ref="C17:C20" si="4">G17</f>
        <v>13.56</v>
      </c>
      <c r="D17" s="29"/>
      <c r="E17" s="33"/>
      <c r="F17" s="29"/>
      <c r="G17" s="32">
        <v>13.56</v>
      </c>
      <c r="H17" s="34" t="s">
        <v>24</v>
      </c>
      <c r="I17" s="36">
        <v>8</v>
      </c>
      <c r="J17" s="43">
        <f t="shared" si="3"/>
        <v>16950</v>
      </c>
      <c r="K17" s="45"/>
    </row>
    <row r="18" s="3" customFormat="1" ht="35" customHeight="1" spans="1:11">
      <c r="A18" s="30">
        <v>4</v>
      </c>
      <c r="B18" s="31" t="s">
        <v>28</v>
      </c>
      <c r="C18" s="32">
        <f t="shared" si="4"/>
        <v>29.58</v>
      </c>
      <c r="D18" s="29"/>
      <c r="E18" s="33"/>
      <c r="F18" s="29"/>
      <c r="G18" s="32">
        <v>29.58</v>
      </c>
      <c r="H18" s="34" t="s">
        <v>27</v>
      </c>
      <c r="I18" s="36">
        <f>569+260+266</f>
        <v>1095</v>
      </c>
      <c r="J18" s="43">
        <f t="shared" si="3"/>
        <v>270.13698630137</v>
      </c>
      <c r="K18" s="45"/>
    </row>
    <row r="19" s="3" customFormat="1" ht="35" customHeight="1" spans="1:11">
      <c r="A19" s="30">
        <v>5</v>
      </c>
      <c r="B19" s="31" t="s">
        <v>29</v>
      </c>
      <c r="C19" s="32">
        <f t="shared" si="4"/>
        <v>44.98</v>
      </c>
      <c r="D19" s="29"/>
      <c r="E19" s="33"/>
      <c r="F19" s="29"/>
      <c r="G19" s="32">
        <v>44.98</v>
      </c>
      <c r="H19" s="34" t="s">
        <v>27</v>
      </c>
      <c r="I19" s="36">
        <f>360+531+716+340+127</f>
        <v>2074</v>
      </c>
      <c r="J19" s="43">
        <f t="shared" si="3"/>
        <v>216.875602700096</v>
      </c>
      <c r="K19" s="45"/>
    </row>
    <row r="20" s="3" customFormat="1" ht="35" customHeight="1" spans="1:11">
      <c r="A20" s="30">
        <v>6</v>
      </c>
      <c r="B20" s="31" t="s">
        <v>36</v>
      </c>
      <c r="C20" s="32">
        <f t="shared" si="4"/>
        <v>2.914</v>
      </c>
      <c r="D20" s="29"/>
      <c r="E20" s="33"/>
      <c r="F20" s="29"/>
      <c r="G20" s="32">
        <f>I20*J20/10000</f>
        <v>2.914</v>
      </c>
      <c r="H20" s="34" t="s">
        <v>27</v>
      </c>
      <c r="I20" s="36">
        <f>94</f>
        <v>94</v>
      </c>
      <c r="J20" s="43">
        <v>310</v>
      </c>
      <c r="K20" s="45"/>
    </row>
    <row r="21" s="4" customFormat="1" ht="35" customHeight="1" spans="1:11">
      <c r="A21" s="30"/>
      <c r="B21" s="35" t="s">
        <v>37</v>
      </c>
      <c r="C21" s="36">
        <f t="shared" ref="C21:G21" si="5">SUM(C15:C20)</f>
        <v>417.766</v>
      </c>
      <c r="D21" s="36">
        <f t="shared" si="5"/>
        <v>0</v>
      </c>
      <c r="E21" s="36">
        <f t="shared" si="5"/>
        <v>90.438</v>
      </c>
      <c r="F21" s="36"/>
      <c r="G21" s="32">
        <f t="shared" si="5"/>
        <v>508.204</v>
      </c>
      <c r="H21" s="34"/>
      <c r="I21" s="36"/>
      <c r="J21" s="43"/>
      <c r="K21" s="42"/>
    </row>
    <row r="22" s="4" customFormat="1" ht="35" customHeight="1" spans="1:11">
      <c r="A22" s="24" t="s">
        <v>38</v>
      </c>
      <c r="B22" s="27" t="s">
        <v>39</v>
      </c>
      <c r="C22" s="28">
        <f>C23+C37</f>
        <v>337.28</v>
      </c>
      <c r="D22" s="28">
        <f>D23+D37</f>
        <v>631.59522212</v>
      </c>
      <c r="E22" s="28">
        <f>E23+E37</f>
        <v>102.32365388</v>
      </c>
      <c r="F22" s="29"/>
      <c r="G22" s="28">
        <f>C22+D22+E22</f>
        <v>1071.198876</v>
      </c>
      <c r="H22" s="26" t="s">
        <v>16</v>
      </c>
      <c r="I22" s="36"/>
      <c r="J22" s="43"/>
      <c r="K22" s="42"/>
    </row>
    <row r="23" s="4" customFormat="1" ht="35" customHeight="1" spans="1:11">
      <c r="A23" s="24">
        <v>1</v>
      </c>
      <c r="B23" s="27" t="s">
        <v>40</v>
      </c>
      <c r="C23" s="28">
        <f>C24+C32</f>
        <v>180.62</v>
      </c>
      <c r="D23" s="28">
        <f>D24+D32</f>
        <v>315.56625727</v>
      </c>
      <c r="E23" s="28">
        <f>E24+E32</f>
        <v>52.12346373</v>
      </c>
      <c r="F23" s="29"/>
      <c r="G23" s="28">
        <f>C23+E23+D23</f>
        <v>548.309721</v>
      </c>
      <c r="H23" s="26" t="s">
        <v>16</v>
      </c>
      <c r="I23" s="36">
        <f>I28</f>
        <v>400000</v>
      </c>
      <c r="J23" s="26">
        <f t="shared" ref="J23:J30" si="6">G23/I23*10000</f>
        <v>13.707743025</v>
      </c>
      <c r="K23" s="42"/>
    </row>
    <row r="24" s="4" customFormat="1" ht="35" customHeight="1" spans="1:11">
      <c r="A24" s="24">
        <v>-1</v>
      </c>
      <c r="B24" s="27" t="s">
        <v>41</v>
      </c>
      <c r="C24" s="28">
        <f>C31</f>
        <v>180.62</v>
      </c>
      <c r="D24" s="28">
        <f>D31</f>
        <v>257.6158</v>
      </c>
      <c r="E24" s="28">
        <f>E31</f>
        <v>43.4642</v>
      </c>
      <c r="F24" s="29"/>
      <c r="G24" s="28">
        <f>C24+D24+E24</f>
        <v>481.7</v>
      </c>
      <c r="H24" s="26" t="s">
        <v>16</v>
      </c>
      <c r="I24" s="36"/>
      <c r="J24" s="26"/>
      <c r="K24" s="42"/>
    </row>
    <row r="25" s="4" customFormat="1" ht="35" customHeight="1" spans="1:11">
      <c r="A25" s="37">
        <v>1.1</v>
      </c>
      <c r="B25" s="31" t="s">
        <v>42</v>
      </c>
      <c r="C25" s="32">
        <f t="shared" ref="C25:C27" si="7">G25</f>
        <v>22.72</v>
      </c>
      <c r="D25" s="36"/>
      <c r="E25" s="33"/>
      <c r="F25" s="36"/>
      <c r="G25" s="32">
        <f>I25*J25/10000</f>
        <v>22.72</v>
      </c>
      <c r="H25" s="34" t="s">
        <v>27</v>
      </c>
      <c r="I25" s="34">
        <v>284</v>
      </c>
      <c r="J25" s="43">
        <v>800</v>
      </c>
      <c r="K25" s="42"/>
    </row>
    <row r="26" s="4" customFormat="1" ht="35" customHeight="1" spans="1:11">
      <c r="A26" s="37">
        <v>1.2</v>
      </c>
      <c r="B26" s="31" t="s">
        <v>43</v>
      </c>
      <c r="C26" s="32">
        <f t="shared" si="7"/>
        <v>152.96</v>
      </c>
      <c r="D26" s="36"/>
      <c r="E26" s="33"/>
      <c r="F26" s="36"/>
      <c r="G26" s="32">
        <v>152.96</v>
      </c>
      <c r="H26" s="34" t="s">
        <v>27</v>
      </c>
      <c r="I26" s="34">
        <v>439.77</v>
      </c>
      <c r="J26" s="43">
        <f t="shared" si="6"/>
        <v>3478.18177683789</v>
      </c>
      <c r="K26" s="42"/>
    </row>
    <row r="27" s="4" customFormat="1" ht="35" customHeight="1" spans="1:11">
      <c r="A27" s="37">
        <v>1.3</v>
      </c>
      <c r="B27" s="31" t="s">
        <v>44</v>
      </c>
      <c r="C27" s="32">
        <f t="shared" si="7"/>
        <v>4.94</v>
      </c>
      <c r="D27" s="36"/>
      <c r="E27" s="33"/>
      <c r="F27" s="36"/>
      <c r="G27" s="32">
        <v>4.94</v>
      </c>
      <c r="H27" s="34" t="s">
        <v>27</v>
      </c>
      <c r="I27" s="34">
        <f>33.2</f>
        <v>33.2</v>
      </c>
      <c r="J27" s="43">
        <f t="shared" si="6"/>
        <v>1487.95180722892</v>
      </c>
      <c r="K27" s="42"/>
    </row>
    <row r="28" s="4" customFormat="1" ht="35" customHeight="1" spans="1:11">
      <c r="A28" s="37">
        <v>1.4</v>
      </c>
      <c r="B28" s="31" t="s">
        <v>45</v>
      </c>
      <c r="C28" s="32"/>
      <c r="D28" s="36">
        <f>G28*0.85</f>
        <v>183.7615</v>
      </c>
      <c r="E28" s="33">
        <f t="shared" ref="E28:E30" si="8">G28-D28</f>
        <v>32.4285</v>
      </c>
      <c r="F28" s="36"/>
      <c r="G28" s="32">
        <v>216.19</v>
      </c>
      <c r="H28" s="34" t="s">
        <v>27</v>
      </c>
      <c r="I28" s="36">
        <v>400000</v>
      </c>
      <c r="J28" s="43">
        <f t="shared" si="6"/>
        <v>5.40475</v>
      </c>
      <c r="K28" s="42"/>
    </row>
    <row r="29" s="4" customFormat="1" ht="35" customHeight="1" spans="1:11">
      <c r="A29" s="37">
        <v>1.5</v>
      </c>
      <c r="B29" s="31" t="s">
        <v>46</v>
      </c>
      <c r="C29" s="32"/>
      <c r="D29" s="36">
        <f t="shared" ref="D29:D35" si="9">G29*0.87</f>
        <v>72.732</v>
      </c>
      <c r="E29" s="33">
        <f t="shared" si="8"/>
        <v>10.868</v>
      </c>
      <c r="F29" s="36"/>
      <c r="G29" s="32">
        <v>83.6</v>
      </c>
      <c r="H29" s="34" t="s">
        <v>27</v>
      </c>
      <c r="I29" s="36">
        <f>I26</f>
        <v>439.77</v>
      </c>
      <c r="J29" s="43">
        <f t="shared" si="6"/>
        <v>1900.99370125293</v>
      </c>
      <c r="K29" s="42"/>
    </row>
    <row r="30" s="4" customFormat="1" ht="35" customHeight="1" spans="1:11">
      <c r="A30" s="37">
        <v>1.6</v>
      </c>
      <c r="B30" s="31" t="s">
        <v>47</v>
      </c>
      <c r="C30" s="32"/>
      <c r="D30" s="36">
        <f t="shared" si="9"/>
        <v>1.1223</v>
      </c>
      <c r="E30" s="33">
        <f t="shared" si="8"/>
        <v>0.1677</v>
      </c>
      <c r="F30" s="36"/>
      <c r="G30" s="32">
        <v>1.29</v>
      </c>
      <c r="H30" s="34" t="s">
        <v>27</v>
      </c>
      <c r="I30" s="36">
        <f>I26</f>
        <v>439.77</v>
      </c>
      <c r="J30" s="43">
        <f t="shared" si="6"/>
        <v>29.3335152466062</v>
      </c>
      <c r="K30" s="45"/>
    </row>
    <row r="31" s="4" customFormat="1" ht="35" customHeight="1" spans="1:11">
      <c r="A31" s="37"/>
      <c r="B31" s="31" t="s">
        <v>30</v>
      </c>
      <c r="C31" s="32">
        <f t="shared" ref="C31:G31" si="10">SUM(C25:C30)</f>
        <v>180.62</v>
      </c>
      <c r="D31" s="32">
        <f t="shared" si="10"/>
        <v>257.6158</v>
      </c>
      <c r="E31" s="32">
        <f t="shared" si="10"/>
        <v>43.4642</v>
      </c>
      <c r="F31" s="36"/>
      <c r="G31" s="32">
        <f t="shared" si="10"/>
        <v>481.7</v>
      </c>
      <c r="H31" s="34" t="s">
        <v>16</v>
      </c>
      <c r="I31" s="36"/>
      <c r="J31" s="43"/>
      <c r="K31" s="45"/>
    </row>
    <row r="32" s="4" customFormat="1" ht="35" customHeight="1" spans="1:11">
      <c r="A32" s="38">
        <v>-2</v>
      </c>
      <c r="B32" s="39" t="s">
        <v>48</v>
      </c>
      <c r="C32" s="29">
        <f>C33+C34+C35</f>
        <v>0</v>
      </c>
      <c r="D32" s="29">
        <f>D33+D34+D35</f>
        <v>57.95045727</v>
      </c>
      <c r="E32" s="29">
        <f>E33+E34+E35</f>
        <v>8.65926373</v>
      </c>
      <c r="F32" s="29"/>
      <c r="G32" s="28">
        <f>D32+C32+E32</f>
        <v>66.609721</v>
      </c>
      <c r="H32" s="26" t="s">
        <v>16</v>
      </c>
      <c r="I32" s="36">
        <v>400000</v>
      </c>
      <c r="J32" s="43">
        <f>G32/I32*10000</f>
        <v>1.665243025</v>
      </c>
      <c r="K32" s="45"/>
    </row>
    <row r="33" s="4" customFormat="1" ht="35" customHeight="1" spans="1:11">
      <c r="A33" s="37">
        <v>2.1</v>
      </c>
      <c r="B33" s="31" t="s">
        <v>49</v>
      </c>
      <c r="C33" s="32"/>
      <c r="D33" s="36">
        <f t="shared" si="9"/>
        <v>43.3118712</v>
      </c>
      <c r="E33" s="33">
        <f t="shared" ref="E33:E35" si="11">G33-D33</f>
        <v>6.4718888</v>
      </c>
      <c r="F33" s="36"/>
      <c r="G33" s="32">
        <f>497837.6/10000</f>
        <v>49.78376</v>
      </c>
      <c r="H33" s="34" t="s">
        <v>16</v>
      </c>
      <c r="I33" s="36"/>
      <c r="J33" s="43"/>
      <c r="K33" s="42"/>
    </row>
    <row r="34" s="4" customFormat="1" ht="35" customHeight="1" spans="1:11">
      <c r="A34" s="37">
        <v>2.2</v>
      </c>
      <c r="B34" s="31" t="s">
        <v>50</v>
      </c>
      <c r="C34" s="32"/>
      <c r="D34" s="36">
        <f t="shared" si="9"/>
        <v>14.21246007</v>
      </c>
      <c r="E34" s="33">
        <f t="shared" si="11"/>
        <v>2.12370093</v>
      </c>
      <c r="F34" s="36"/>
      <c r="G34" s="32">
        <f>163361.61/10000</f>
        <v>16.336161</v>
      </c>
      <c r="H34" s="34" t="s">
        <v>16</v>
      </c>
      <c r="I34" s="36"/>
      <c r="J34" s="43"/>
      <c r="K34" s="42"/>
    </row>
    <row r="35" s="4" customFormat="1" ht="35" customHeight="1" spans="1:11">
      <c r="A35" s="37">
        <v>2.3</v>
      </c>
      <c r="B35" s="31" t="s">
        <v>51</v>
      </c>
      <c r="C35" s="32"/>
      <c r="D35" s="36">
        <f t="shared" si="9"/>
        <v>0.426126</v>
      </c>
      <c r="E35" s="33">
        <f t="shared" si="11"/>
        <v>0.063674</v>
      </c>
      <c r="F35" s="36"/>
      <c r="G35" s="32">
        <f>4898/10000</f>
        <v>0.4898</v>
      </c>
      <c r="H35" s="34" t="s">
        <v>16</v>
      </c>
      <c r="I35" s="36"/>
      <c r="J35" s="43"/>
      <c r="K35" s="42"/>
    </row>
    <row r="36" s="4" customFormat="1" ht="35" customHeight="1" spans="1:11">
      <c r="A36" s="37"/>
      <c r="B36" s="31" t="s">
        <v>30</v>
      </c>
      <c r="C36" s="32">
        <f>C32</f>
        <v>0</v>
      </c>
      <c r="D36" s="32">
        <f>D32</f>
        <v>57.95045727</v>
      </c>
      <c r="E36" s="32">
        <f>E32</f>
        <v>8.65926373</v>
      </c>
      <c r="F36" s="36"/>
      <c r="G36" s="32">
        <f>G33+G34+G35</f>
        <v>66.609721</v>
      </c>
      <c r="H36" s="34" t="s">
        <v>16</v>
      </c>
      <c r="I36" s="36"/>
      <c r="J36" s="43"/>
      <c r="K36" s="42"/>
    </row>
    <row r="37" s="3" customFormat="1" ht="35" customHeight="1" spans="1:11">
      <c r="A37" s="38">
        <v>2</v>
      </c>
      <c r="B37" s="39" t="s">
        <v>52</v>
      </c>
      <c r="C37" s="29">
        <f>C38+C45</f>
        <v>156.66</v>
      </c>
      <c r="D37" s="29">
        <f>D38+D45</f>
        <v>316.02896485</v>
      </c>
      <c r="E37" s="29">
        <f>E38+E45</f>
        <v>50.20019015</v>
      </c>
      <c r="F37" s="29"/>
      <c r="G37" s="28">
        <f>C37+D37+E37</f>
        <v>522.889155</v>
      </c>
      <c r="H37" s="26" t="s">
        <v>16</v>
      </c>
      <c r="I37" s="36">
        <f>I41</f>
        <v>450000</v>
      </c>
      <c r="J37" s="43">
        <f t="shared" ref="J37:J43" si="12">G37/I37*10000</f>
        <v>11.619759</v>
      </c>
      <c r="K37" s="45"/>
    </row>
    <row r="38" s="3" customFormat="1" ht="35" customHeight="1" spans="1:11">
      <c r="A38" s="24">
        <v>-1</v>
      </c>
      <c r="B38" s="27" t="s">
        <v>41</v>
      </c>
      <c r="C38" s="28">
        <f>C44</f>
        <v>156.66</v>
      </c>
      <c r="D38" s="28">
        <f>D44</f>
        <v>212.6215</v>
      </c>
      <c r="E38" s="28">
        <f>E44</f>
        <v>34.7485</v>
      </c>
      <c r="F38" s="29"/>
      <c r="G38" s="28">
        <f>C38+D38+E38</f>
        <v>404.03</v>
      </c>
      <c r="H38" s="26" t="s">
        <v>16</v>
      </c>
      <c r="I38" s="29"/>
      <c r="J38" s="46"/>
      <c r="K38" s="45"/>
    </row>
    <row r="39" s="3" customFormat="1" ht="35" customHeight="1" spans="1:11">
      <c r="A39" s="37">
        <v>1.1</v>
      </c>
      <c r="B39" s="31" t="s">
        <v>43</v>
      </c>
      <c r="C39" s="32">
        <f>G39</f>
        <v>152.96</v>
      </c>
      <c r="D39" s="36"/>
      <c r="E39" s="33"/>
      <c r="F39" s="36"/>
      <c r="G39" s="32">
        <v>152.96</v>
      </c>
      <c r="H39" s="34" t="s">
        <v>27</v>
      </c>
      <c r="I39" s="34">
        <v>439.77</v>
      </c>
      <c r="J39" s="43">
        <f t="shared" si="12"/>
        <v>3478.18177683789</v>
      </c>
      <c r="K39" s="45"/>
    </row>
    <row r="40" s="3" customFormat="1" ht="35" customHeight="1" spans="1:11">
      <c r="A40" s="37">
        <v>1.2</v>
      </c>
      <c r="B40" s="31" t="s">
        <v>44</v>
      </c>
      <c r="C40" s="32">
        <f>G40</f>
        <v>3.7</v>
      </c>
      <c r="D40" s="36"/>
      <c r="E40" s="33"/>
      <c r="F40" s="36"/>
      <c r="G40" s="32">
        <v>3.7</v>
      </c>
      <c r="H40" s="34" t="s">
        <v>27</v>
      </c>
      <c r="I40" s="34">
        <v>24.9</v>
      </c>
      <c r="J40" s="43">
        <f t="shared" si="12"/>
        <v>1485.9437751004</v>
      </c>
      <c r="K40" s="45"/>
    </row>
    <row r="41" s="4" customFormat="1" ht="35" customHeight="1" spans="1:11">
      <c r="A41" s="37">
        <v>1.3</v>
      </c>
      <c r="B41" s="31" t="s">
        <v>53</v>
      </c>
      <c r="C41" s="32"/>
      <c r="D41" s="36">
        <f>G41*0.85</f>
        <v>110.092</v>
      </c>
      <c r="E41" s="33">
        <f t="shared" ref="E41:E43" si="13">G41-D41</f>
        <v>19.428</v>
      </c>
      <c r="F41" s="36"/>
      <c r="G41" s="32">
        <v>129.52</v>
      </c>
      <c r="H41" s="34" t="s">
        <v>27</v>
      </c>
      <c r="I41" s="36">
        <v>450000</v>
      </c>
      <c r="J41" s="43">
        <f t="shared" si="12"/>
        <v>2.87822222222222</v>
      </c>
      <c r="K41" s="45"/>
    </row>
    <row r="42" s="4" customFormat="1" ht="35" customHeight="1" spans="1:11">
      <c r="A42" s="37">
        <v>1.4</v>
      </c>
      <c r="B42" s="31" t="s">
        <v>46</v>
      </c>
      <c r="C42" s="32"/>
      <c r="D42" s="36">
        <f t="shared" ref="D42:D48" si="14">G42*0.87</f>
        <v>101.4072</v>
      </c>
      <c r="E42" s="33">
        <f t="shared" si="13"/>
        <v>15.1528</v>
      </c>
      <c r="F42" s="36"/>
      <c r="G42" s="32">
        <v>116.56</v>
      </c>
      <c r="H42" s="34" t="s">
        <v>27</v>
      </c>
      <c r="I42" s="36">
        <f>I39</f>
        <v>439.77</v>
      </c>
      <c r="J42" s="43">
        <f t="shared" si="12"/>
        <v>2650.47638538327</v>
      </c>
      <c r="K42" s="45"/>
    </row>
    <row r="43" s="4" customFormat="1" ht="35" customHeight="1" spans="1:11">
      <c r="A43" s="37">
        <v>1.5</v>
      </c>
      <c r="B43" s="31" t="s">
        <v>47</v>
      </c>
      <c r="C43" s="32"/>
      <c r="D43" s="36">
        <f t="shared" si="14"/>
        <v>1.1223</v>
      </c>
      <c r="E43" s="33">
        <f t="shared" si="13"/>
        <v>0.1677</v>
      </c>
      <c r="F43" s="36"/>
      <c r="G43" s="32">
        <v>1.29</v>
      </c>
      <c r="H43" s="34" t="s">
        <v>27</v>
      </c>
      <c r="I43" s="36">
        <f>I39</f>
        <v>439.77</v>
      </c>
      <c r="J43" s="43">
        <f t="shared" si="12"/>
        <v>29.3335152466062</v>
      </c>
      <c r="K43" s="45"/>
    </row>
    <row r="44" s="4" customFormat="1" ht="35" customHeight="1" spans="1:11">
      <c r="A44" s="37"/>
      <c r="B44" s="31" t="s">
        <v>30</v>
      </c>
      <c r="C44" s="32">
        <f t="shared" ref="C44:G44" si="15">SUM(C39:C43)</f>
        <v>156.66</v>
      </c>
      <c r="D44" s="32">
        <f t="shared" si="15"/>
        <v>212.6215</v>
      </c>
      <c r="E44" s="32">
        <f t="shared" si="15"/>
        <v>34.7485</v>
      </c>
      <c r="F44" s="36"/>
      <c r="G44" s="32">
        <f t="shared" si="15"/>
        <v>404.03</v>
      </c>
      <c r="H44" s="34" t="s">
        <v>16</v>
      </c>
      <c r="I44" s="36"/>
      <c r="J44" s="43"/>
      <c r="K44" s="45"/>
    </row>
    <row r="45" s="4" customFormat="1" ht="35" customHeight="1" spans="1:11">
      <c r="A45" s="38">
        <v>-2</v>
      </c>
      <c r="B45" s="39" t="s">
        <v>48</v>
      </c>
      <c r="C45" s="29">
        <f>C46+C47+C48</f>
        <v>0</v>
      </c>
      <c r="D45" s="29">
        <f>D46+D47+D48</f>
        <v>103.40746485</v>
      </c>
      <c r="E45" s="29">
        <f>E46+E47+E48</f>
        <v>15.45169015</v>
      </c>
      <c r="F45" s="29"/>
      <c r="G45" s="28">
        <f>D45+C45+E45</f>
        <v>118.859155</v>
      </c>
      <c r="H45" s="26" t="s">
        <v>16</v>
      </c>
      <c r="I45" s="36">
        <v>450000</v>
      </c>
      <c r="J45" s="43">
        <f>G45/I45*10000</f>
        <v>2.64131455555556</v>
      </c>
      <c r="K45" s="45"/>
    </row>
    <row r="46" s="4" customFormat="1" ht="35" customHeight="1" spans="1:11">
      <c r="A46" s="37">
        <v>2.1</v>
      </c>
      <c r="B46" s="31" t="s">
        <v>49</v>
      </c>
      <c r="C46" s="32"/>
      <c r="D46" s="36">
        <f t="shared" si="14"/>
        <v>78.5868216</v>
      </c>
      <c r="E46" s="33">
        <f t="shared" ref="E46:E48" si="16">G46-D46</f>
        <v>11.7428584</v>
      </c>
      <c r="F46" s="36"/>
      <c r="G46" s="32">
        <f>903296.8/10000</f>
        <v>90.32968</v>
      </c>
      <c r="H46" s="34" t="s">
        <v>16</v>
      </c>
      <c r="I46" s="36"/>
      <c r="J46" s="43"/>
      <c r="K46" s="42"/>
    </row>
    <row r="47" s="4" customFormat="1" ht="35" customHeight="1" spans="1:11">
      <c r="A47" s="37">
        <v>2.2</v>
      </c>
      <c r="B47" s="31" t="s">
        <v>50</v>
      </c>
      <c r="C47" s="32"/>
      <c r="D47" s="36">
        <f t="shared" si="14"/>
        <v>24.39451725</v>
      </c>
      <c r="E47" s="33">
        <f t="shared" si="16"/>
        <v>3.64515775</v>
      </c>
      <c r="F47" s="36"/>
      <c r="G47" s="32">
        <f>280396.75/10000</f>
        <v>28.039675</v>
      </c>
      <c r="H47" s="34" t="s">
        <v>16</v>
      </c>
      <c r="I47" s="36"/>
      <c r="J47" s="43"/>
      <c r="K47" s="42"/>
    </row>
    <row r="48" s="4" customFormat="1" ht="35" customHeight="1" spans="1:11">
      <c r="A48" s="37">
        <v>2.3</v>
      </c>
      <c r="B48" s="31" t="s">
        <v>51</v>
      </c>
      <c r="C48" s="32"/>
      <c r="D48" s="36">
        <f t="shared" si="14"/>
        <v>0.426126</v>
      </c>
      <c r="E48" s="33">
        <f t="shared" si="16"/>
        <v>0.063674</v>
      </c>
      <c r="F48" s="36"/>
      <c r="G48" s="32">
        <f>4898/10000</f>
        <v>0.4898</v>
      </c>
      <c r="H48" s="34" t="s">
        <v>16</v>
      </c>
      <c r="I48" s="36"/>
      <c r="J48" s="43"/>
      <c r="K48" s="42"/>
    </row>
    <row r="49" s="4" customFormat="1" ht="35" customHeight="1" spans="1:11">
      <c r="A49" s="37"/>
      <c r="B49" s="31" t="s">
        <v>30</v>
      </c>
      <c r="C49" s="32">
        <f>C45</f>
        <v>0</v>
      </c>
      <c r="D49" s="32">
        <f>D45</f>
        <v>103.40746485</v>
      </c>
      <c r="E49" s="32">
        <f>E45</f>
        <v>15.45169015</v>
      </c>
      <c r="F49" s="36"/>
      <c r="G49" s="32">
        <f>G46+G47+G48</f>
        <v>118.859155</v>
      </c>
      <c r="H49" s="34" t="s">
        <v>16</v>
      </c>
      <c r="I49" s="36"/>
      <c r="J49" s="43"/>
      <c r="K49" s="42"/>
    </row>
    <row r="50" s="4" customFormat="1" ht="35" customHeight="1" spans="1:11">
      <c r="A50" s="24" t="s">
        <v>54</v>
      </c>
      <c r="B50" s="27" t="s">
        <v>55</v>
      </c>
      <c r="C50" s="28">
        <f>C51+C54+C57+C60+C63+C66+C67+C72</f>
        <v>10.342</v>
      </c>
      <c r="D50" s="28">
        <f>D51+D54+D57+D60+D63+D66+D67+D72</f>
        <v>356.0684046</v>
      </c>
      <c r="E50" s="28">
        <f>E51+E54+E57+E60+E63+E66+E67+E72</f>
        <v>78.9120714</v>
      </c>
      <c r="F50" s="29"/>
      <c r="G50" s="28">
        <f>C50+D50+E50</f>
        <v>445.322476</v>
      </c>
      <c r="H50" s="26" t="s">
        <v>16</v>
      </c>
      <c r="I50" s="26"/>
      <c r="J50" s="26"/>
      <c r="K50" s="42"/>
    </row>
    <row r="51" s="4" customFormat="1" ht="35" customHeight="1" spans="1:11">
      <c r="A51" s="24">
        <v>1</v>
      </c>
      <c r="B51" s="27" t="s">
        <v>56</v>
      </c>
      <c r="C51" s="28">
        <f t="shared" ref="C51:G51" si="17">C52+C53</f>
        <v>0</v>
      </c>
      <c r="D51" s="28">
        <f t="shared" si="17"/>
        <v>66.317</v>
      </c>
      <c r="E51" s="28">
        <f t="shared" si="17"/>
        <v>11.703</v>
      </c>
      <c r="F51" s="29"/>
      <c r="G51" s="28">
        <f t="shared" si="17"/>
        <v>78.02</v>
      </c>
      <c r="H51" s="26" t="str">
        <f t="shared" ref="H51:H54" si="18">H50</f>
        <v>万元</v>
      </c>
      <c r="I51" s="26"/>
      <c r="J51" s="26"/>
      <c r="K51" s="42"/>
    </row>
    <row r="52" s="4" customFormat="1" ht="35" customHeight="1" spans="1:11">
      <c r="A52" s="37">
        <v>1.1</v>
      </c>
      <c r="B52" s="31" t="s">
        <v>57</v>
      </c>
      <c r="C52" s="32"/>
      <c r="D52" s="36">
        <f t="shared" ref="D52:D56" si="19">G52*0.85</f>
        <v>25.772</v>
      </c>
      <c r="E52" s="33">
        <f t="shared" ref="E52:E56" si="20">G52-D52</f>
        <v>4.548</v>
      </c>
      <c r="F52" s="36"/>
      <c r="G52" s="32">
        <v>30.32</v>
      </c>
      <c r="H52" s="34" t="s">
        <v>16</v>
      </c>
      <c r="I52" s="36"/>
      <c r="J52" s="43"/>
      <c r="K52" s="42"/>
    </row>
    <row r="53" s="4" customFormat="1" ht="35" customHeight="1" spans="1:11">
      <c r="A53" s="37">
        <v>1.2</v>
      </c>
      <c r="B53" s="31" t="s">
        <v>58</v>
      </c>
      <c r="C53" s="32"/>
      <c r="D53" s="36">
        <f t="shared" si="19"/>
        <v>40.545</v>
      </c>
      <c r="E53" s="33">
        <f t="shared" si="20"/>
        <v>7.155</v>
      </c>
      <c r="F53" s="29"/>
      <c r="G53" s="32">
        <v>47.7</v>
      </c>
      <c r="H53" s="34" t="str">
        <f t="shared" si="18"/>
        <v>万元</v>
      </c>
      <c r="I53" s="36"/>
      <c r="J53" s="43"/>
      <c r="K53" s="45"/>
    </row>
    <row r="54" s="4" customFormat="1" ht="35" customHeight="1" spans="1:11">
      <c r="A54" s="24">
        <v>2</v>
      </c>
      <c r="B54" s="27" t="s">
        <v>59</v>
      </c>
      <c r="C54" s="28">
        <f t="shared" ref="C54:G54" si="21">C55+C56</f>
        <v>0</v>
      </c>
      <c r="D54" s="28">
        <f t="shared" si="21"/>
        <v>108.6895</v>
      </c>
      <c r="E54" s="28">
        <f t="shared" si="21"/>
        <v>19.1805</v>
      </c>
      <c r="F54" s="29"/>
      <c r="G54" s="28">
        <f t="shared" si="21"/>
        <v>127.87</v>
      </c>
      <c r="H54" s="26" t="str">
        <f t="shared" si="18"/>
        <v>万元</v>
      </c>
      <c r="I54" s="26"/>
      <c r="J54" s="26"/>
      <c r="K54" s="42"/>
    </row>
    <row r="55" s="4" customFormat="1" ht="35" customHeight="1" spans="1:11">
      <c r="A55" s="37">
        <v>2.1</v>
      </c>
      <c r="B55" s="31" t="s">
        <v>60</v>
      </c>
      <c r="C55" s="32"/>
      <c r="D55" s="36">
        <f t="shared" si="19"/>
        <v>42.7975</v>
      </c>
      <c r="E55" s="33">
        <f t="shared" si="20"/>
        <v>7.5525</v>
      </c>
      <c r="F55" s="36"/>
      <c r="G55" s="32">
        <v>50.35</v>
      </c>
      <c r="H55" s="34" t="s">
        <v>16</v>
      </c>
      <c r="I55" s="36"/>
      <c r="J55" s="43"/>
      <c r="K55" s="42"/>
    </row>
    <row r="56" s="4" customFormat="1" ht="35" customHeight="1" spans="1:11">
      <c r="A56" s="37">
        <v>2.2</v>
      </c>
      <c r="B56" s="31" t="s">
        <v>61</v>
      </c>
      <c r="C56" s="32"/>
      <c r="D56" s="36">
        <f t="shared" si="19"/>
        <v>65.892</v>
      </c>
      <c r="E56" s="33">
        <f t="shared" si="20"/>
        <v>11.628</v>
      </c>
      <c r="F56" s="29"/>
      <c r="G56" s="32">
        <v>77.52</v>
      </c>
      <c r="H56" s="34" t="str">
        <f t="shared" ref="H56:H60" si="22">H55</f>
        <v>万元</v>
      </c>
      <c r="I56" s="36"/>
      <c r="J56" s="43"/>
      <c r="K56" s="45"/>
    </row>
    <row r="57" s="4" customFormat="1" ht="35" customHeight="1" spans="1:11">
      <c r="A57" s="24">
        <v>3</v>
      </c>
      <c r="B57" s="27" t="s">
        <v>62</v>
      </c>
      <c r="C57" s="28">
        <f>C58+C59</f>
        <v>0</v>
      </c>
      <c r="D57" s="28">
        <f>D58+D59</f>
        <v>16.133</v>
      </c>
      <c r="E57" s="28">
        <f>E58+E59</f>
        <v>2.847</v>
      </c>
      <c r="F57" s="29"/>
      <c r="G57" s="28">
        <f>G58+G59</f>
        <v>18.98</v>
      </c>
      <c r="H57" s="26" t="str">
        <f t="shared" si="22"/>
        <v>万元</v>
      </c>
      <c r="I57" s="26"/>
      <c r="J57" s="26"/>
      <c r="K57" s="42"/>
    </row>
    <row r="58" s="4" customFormat="1" ht="35" customHeight="1" spans="1:11">
      <c r="A58" s="37">
        <v>3.1</v>
      </c>
      <c r="B58" s="31" t="s">
        <v>63</v>
      </c>
      <c r="C58" s="32"/>
      <c r="D58" s="36">
        <f t="shared" ref="D58:D62" si="23">G58*0.85</f>
        <v>12.9285</v>
      </c>
      <c r="E58" s="33">
        <f t="shared" ref="E58:E62" si="24">G58-D58</f>
        <v>2.2815</v>
      </c>
      <c r="F58" s="36"/>
      <c r="G58" s="32">
        <v>15.21</v>
      </c>
      <c r="H58" s="34" t="s">
        <v>16</v>
      </c>
      <c r="I58" s="36"/>
      <c r="J58" s="43"/>
      <c r="K58" s="42"/>
    </row>
    <row r="59" s="4" customFormat="1" ht="35" customHeight="1" spans="1:11">
      <c r="A59" s="37">
        <v>3.2</v>
      </c>
      <c r="B59" s="31" t="s">
        <v>64</v>
      </c>
      <c r="C59" s="32"/>
      <c r="D59" s="36">
        <f t="shared" si="23"/>
        <v>3.2045</v>
      </c>
      <c r="E59" s="33">
        <f t="shared" si="24"/>
        <v>0.5655</v>
      </c>
      <c r="F59" s="36"/>
      <c r="G59" s="32">
        <v>3.77</v>
      </c>
      <c r="H59" s="34" t="s">
        <v>16</v>
      </c>
      <c r="I59" s="36"/>
      <c r="J59" s="43"/>
      <c r="K59" s="42"/>
    </row>
    <row r="60" s="4" customFormat="1" ht="35" customHeight="1" spans="1:11">
      <c r="A60" s="24">
        <v>4</v>
      </c>
      <c r="B60" s="27" t="s">
        <v>65</v>
      </c>
      <c r="C60" s="28">
        <f t="shared" ref="C60:G60" si="25">C61+C62</f>
        <v>0</v>
      </c>
      <c r="D60" s="28">
        <f t="shared" si="25"/>
        <v>20.2725</v>
      </c>
      <c r="E60" s="28">
        <f t="shared" si="25"/>
        <v>3.5775</v>
      </c>
      <c r="F60" s="29"/>
      <c r="G60" s="28">
        <f t="shared" si="25"/>
        <v>23.85</v>
      </c>
      <c r="H60" s="26" t="str">
        <f t="shared" si="22"/>
        <v>万元</v>
      </c>
      <c r="I60" s="26"/>
      <c r="J60" s="26"/>
      <c r="K60" s="42"/>
    </row>
    <row r="61" s="4" customFormat="1" ht="35" customHeight="1" spans="1:11">
      <c r="A61" s="37">
        <v>4.1</v>
      </c>
      <c r="B61" s="31" t="s">
        <v>66</v>
      </c>
      <c r="C61" s="32"/>
      <c r="D61" s="36">
        <f t="shared" si="23"/>
        <v>15.691</v>
      </c>
      <c r="E61" s="33">
        <f t="shared" si="24"/>
        <v>2.769</v>
      </c>
      <c r="F61" s="36"/>
      <c r="G61" s="32">
        <v>18.46</v>
      </c>
      <c r="H61" s="34" t="s">
        <v>16</v>
      </c>
      <c r="I61" s="36"/>
      <c r="J61" s="43"/>
      <c r="K61" s="42"/>
    </row>
    <row r="62" s="4" customFormat="1" ht="35" customHeight="1" spans="1:11">
      <c r="A62" s="37">
        <v>4.2</v>
      </c>
      <c r="B62" s="31" t="s">
        <v>67</v>
      </c>
      <c r="C62" s="32"/>
      <c r="D62" s="36">
        <f t="shared" si="23"/>
        <v>4.5815</v>
      </c>
      <c r="E62" s="33">
        <f t="shared" si="24"/>
        <v>0.8085</v>
      </c>
      <c r="F62" s="29"/>
      <c r="G62" s="32">
        <v>5.39</v>
      </c>
      <c r="H62" s="34" t="s">
        <v>16</v>
      </c>
      <c r="I62" s="36"/>
      <c r="J62" s="43"/>
      <c r="K62" s="42"/>
    </row>
    <row r="63" s="4" customFormat="1" ht="35" customHeight="1" spans="1:11">
      <c r="A63" s="24">
        <v>5</v>
      </c>
      <c r="B63" s="27" t="s">
        <v>68</v>
      </c>
      <c r="C63" s="28">
        <f t="shared" ref="C63:G63" si="26">C64+C65</f>
        <v>0</v>
      </c>
      <c r="D63" s="28">
        <f t="shared" si="26"/>
        <v>38.046</v>
      </c>
      <c r="E63" s="28">
        <f t="shared" si="26"/>
        <v>6.714</v>
      </c>
      <c r="F63" s="29"/>
      <c r="G63" s="28">
        <f t="shared" si="26"/>
        <v>44.76</v>
      </c>
      <c r="H63" s="26" t="str">
        <f>H62</f>
        <v>万元</v>
      </c>
      <c r="I63" s="26"/>
      <c r="J63" s="26"/>
      <c r="K63" s="42"/>
    </row>
    <row r="64" s="4" customFormat="1" ht="35" customHeight="1" spans="1:11">
      <c r="A64" s="37">
        <v>5.1</v>
      </c>
      <c r="B64" s="31" t="s">
        <v>69</v>
      </c>
      <c r="C64" s="32"/>
      <c r="D64" s="36">
        <f>G64*0.85</f>
        <v>15.7165</v>
      </c>
      <c r="E64" s="33">
        <f>G64-D64</f>
        <v>2.7735</v>
      </c>
      <c r="F64" s="36"/>
      <c r="G64" s="32">
        <v>18.49</v>
      </c>
      <c r="H64" s="34" t="s">
        <v>16</v>
      </c>
      <c r="I64" s="36"/>
      <c r="J64" s="43"/>
      <c r="K64" s="42"/>
    </row>
    <row r="65" s="4" customFormat="1" ht="35" customHeight="1" spans="1:11">
      <c r="A65" s="37">
        <v>5.2</v>
      </c>
      <c r="B65" s="31" t="s">
        <v>70</v>
      </c>
      <c r="C65" s="32"/>
      <c r="D65" s="36">
        <f>G65*0.85</f>
        <v>22.3295</v>
      </c>
      <c r="E65" s="33">
        <f>G65-D65</f>
        <v>3.9405</v>
      </c>
      <c r="F65" s="29"/>
      <c r="G65" s="32">
        <v>26.27</v>
      </c>
      <c r="H65" s="34" t="s">
        <v>16</v>
      </c>
      <c r="I65" s="36"/>
      <c r="J65" s="43"/>
      <c r="K65" s="42"/>
    </row>
    <row r="66" s="3" customFormat="1" ht="35" customHeight="1" spans="1:11">
      <c r="A66" s="38">
        <v>6</v>
      </c>
      <c r="B66" s="39" t="s">
        <v>71</v>
      </c>
      <c r="C66" s="28"/>
      <c r="D66" s="29">
        <f>G66-E66</f>
        <v>25.0525</v>
      </c>
      <c r="E66" s="47">
        <f>G66*0.45</f>
        <v>20.4975</v>
      </c>
      <c r="F66" s="29"/>
      <c r="G66" s="28">
        <v>45.55</v>
      </c>
      <c r="H66" s="26" t="s">
        <v>16</v>
      </c>
      <c r="I66" s="29"/>
      <c r="J66" s="46"/>
      <c r="K66" s="45"/>
    </row>
    <row r="67" s="3" customFormat="1" ht="35" customHeight="1" spans="1:11">
      <c r="A67" s="38">
        <v>7</v>
      </c>
      <c r="B67" s="39" t="s">
        <v>72</v>
      </c>
      <c r="C67" s="29">
        <f t="shared" ref="C67:F67" si="27">C71</f>
        <v>10.342</v>
      </c>
      <c r="D67" s="29">
        <f t="shared" si="27"/>
        <v>0</v>
      </c>
      <c r="E67" s="29">
        <f t="shared" si="27"/>
        <v>0</v>
      </c>
      <c r="F67" s="29">
        <f t="shared" si="27"/>
        <v>0</v>
      </c>
      <c r="G67" s="28">
        <f>C67+D67+E67</f>
        <v>10.342</v>
      </c>
      <c r="H67" s="26" t="s">
        <v>16</v>
      </c>
      <c r="I67" s="29"/>
      <c r="J67" s="46"/>
      <c r="K67" s="45"/>
    </row>
    <row r="68" s="4" customFormat="1" ht="35" customHeight="1" spans="1:11">
      <c r="A68" s="37">
        <v>7.1</v>
      </c>
      <c r="B68" s="31" t="s">
        <v>73</v>
      </c>
      <c r="C68" s="32">
        <f t="shared" ref="C68:C70" si="28">G68</f>
        <v>0.051</v>
      </c>
      <c r="D68" s="29"/>
      <c r="E68" s="33"/>
      <c r="F68" s="29"/>
      <c r="G68" s="32">
        <f t="shared" ref="G68:G70" si="29">I68*J68/10000</f>
        <v>0.051</v>
      </c>
      <c r="H68" s="34" t="s">
        <v>27</v>
      </c>
      <c r="I68" s="36">
        <f>20*0.3</f>
        <v>6</v>
      </c>
      <c r="J68" s="43">
        <v>85</v>
      </c>
      <c r="K68" s="42"/>
    </row>
    <row r="69" s="4" customFormat="1" ht="35" customHeight="1" spans="1:11">
      <c r="A69" s="37">
        <v>7.2</v>
      </c>
      <c r="B69" s="31" t="s">
        <v>74</v>
      </c>
      <c r="C69" s="32">
        <f t="shared" si="28"/>
        <v>0.148</v>
      </c>
      <c r="D69" s="29"/>
      <c r="E69" s="33"/>
      <c r="F69" s="29"/>
      <c r="G69" s="32">
        <f t="shared" si="29"/>
        <v>0.148</v>
      </c>
      <c r="H69" s="34" t="s">
        <v>21</v>
      </c>
      <c r="I69" s="36">
        <f>6.8+8</f>
        <v>14.8</v>
      </c>
      <c r="J69" s="43">
        <v>100</v>
      </c>
      <c r="K69" s="42"/>
    </row>
    <row r="70" s="4" customFormat="1" ht="35" customHeight="1" spans="1:11">
      <c r="A70" s="37">
        <v>7.3</v>
      </c>
      <c r="B70" s="31" t="s">
        <v>75</v>
      </c>
      <c r="C70" s="32">
        <f t="shared" si="28"/>
        <v>10.143</v>
      </c>
      <c r="D70" s="29"/>
      <c r="E70" s="33"/>
      <c r="F70" s="29"/>
      <c r="G70" s="32">
        <f t="shared" si="29"/>
        <v>10.143</v>
      </c>
      <c r="H70" s="34" t="s">
        <v>27</v>
      </c>
      <c r="I70" s="36">
        <f>240+201</f>
        <v>441</v>
      </c>
      <c r="J70" s="43">
        <v>230</v>
      </c>
      <c r="K70" s="42"/>
    </row>
    <row r="71" s="4" customFormat="1" ht="35" customHeight="1" spans="1:11">
      <c r="A71" s="30"/>
      <c r="B71" s="35" t="s">
        <v>37</v>
      </c>
      <c r="C71" s="36">
        <f t="shared" ref="C71:G71" si="30">SUM(C68:C70)</f>
        <v>10.342</v>
      </c>
      <c r="D71" s="36">
        <f t="shared" si="30"/>
        <v>0</v>
      </c>
      <c r="E71" s="36">
        <f t="shared" si="30"/>
        <v>0</v>
      </c>
      <c r="F71" s="36"/>
      <c r="G71" s="32">
        <f t="shared" si="30"/>
        <v>10.342</v>
      </c>
      <c r="H71" s="34" t="s">
        <v>16</v>
      </c>
      <c r="I71" s="36"/>
      <c r="J71" s="43"/>
      <c r="K71" s="42"/>
    </row>
    <row r="72" s="3" customFormat="1" ht="35" customHeight="1" spans="1:11">
      <c r="A72" s="38">
        <v>8</v>
      </c>
      <c r="B72" s="39" t="s">
        <v>48</v>
      </c>
      <c r="C72" s="29">
        <f>C75</f>
        <v>0</v>
      </c>
      <c r="D72" s="29">
        <f>D75</f>
        <v>81.5579046</v>
      </c>
      <c r="E72" s="29">
        <f>E75</f>
        <v>14.3925714</v>
      </c>
      <c r="F72" s="29"/>
      <c r="G72" s="28">
        <f>C72+D72+E72</f>
        <v>95.950476</v>
      </c>
      <c r="H72" s="26" t="s">
        <v>16</v>
      </c>
      <c r="I72" s="29"/>
      <c r="J72" s="46"/>
      <c r="K72" s="45"/>
    </row>
    <row r="73" s="3" customFormat="1" ht="35" customHeight="1" spans="1:11">
      <c r="A73" s="37">
        <v>8.1</v>
      </c>
      <c r="B73" s="31" t="s">
        <v>49</v>
      </c>
      <c r="C73" s="32"/>
      <c r="D73" s="36">
        <f>G73*0.85</f>
        <v>58.51896315</v>
      </c>
      <c r="E73" s="36">
        <f>G73-D73</f>
        <v>10.32687585</v>
      </c>
      <c r="F73" s="36"/>
      <c r="G73" s="32">
        <f>688458.39/10000</f>
        <v>68.845839</v>
      </c>
      <c r="H73" s="34" t="s">
        <v>16</v>
      </c>
      <c r="I73" s="36"/>
      <c r="J73" s="43"/>
      <c r="K73" s="42"/>
    </row>
    <row r="74" s="3" customFormat="1" ht="35" customHeight="1" spans="1:11">
      <c r="A74" s="37">
        <v>8.2</v>
      </c>
      <c r="B74" s="31" t="s">
        <v>50</v>
      </c>
      <c r="C74" s="32"/>
      <c r="D74" s="36">
        <f>G74*0.85</f>
        <v>23.03894145</v>
      </c>
      <c r="E74" s="36">
        <f>G74-D74</f>
        <v>4.06569555</v>
      </c>
      <c r="F74" s="36"/>
      <c r="G74" s="32">
        <f>271046.37/10000</f>
        <v>27.104637</v>
      </c>
      <c r="H74" s="34" t="s">
        <v>16</v>
      </c>
      <c r="I74" s="36"/>
      <c r="J74" s="43"/>
      <c r="K74" s="42"/>
    </row>
    <row r="75" s="3" customFormat="1" ht="35" customHeight="1" spans="1:11">
      <c r="A75" s="37"/>
      <c r="B75" s="31" t="s">
        <v>30</v>
      </c>
      <c r="C75" s="32"/>
      <c r="D75" s="32">
        <f t="shared" ref="D75:G75" si="31">SUM(D73:D74)</f>
        <v>81.5579046</v>
      </c>
      <c r="E75" s="32">
        <f t="shared" si="31"/>
        <v>14.3925714</v>
      </c>
      <c r="F75" s="36"/>
      <c r="G75" s="32">
        <f t="shared" si="31"/>
        <v>95.950476</v>
      </c>
      <c r="H75" s="34" t="s">
        <v>16</v>
      </c>
      <c r="I75" s="36"/>
      <c r="J75" s="43"/>
      <c r="K75" s="42"/>
    </row>
    <row r="76" s="3" customFormat="1" ht="35" customHeight="1" spans="1:11">
      <c r="A76" s="38" t="s">
        <v>76</v>
      </c>
      <c r="B76" s="25" t="s">
        <v>77</v>
      </c>
      <c r="C76" s="29"/>
      <c r="D76" s="29"/>
      <c r="E76" s="29"/>
      <c r="F76" s="29">
        <f>F87</f>
        <v>165.1701781344</v>
      </c>
      <c r="G76" s="28">
        <f t="shared" ref="G76:G78" si="32">F76</f>
        <v>165.1701781344</v>
      </c>
      <c r="H76" s="26" t="s">
        <v>16</v>
      </c>
      <c r="I76" s="29"/>
      <c r="J76" s="29"/>
      <c r="K76" s="42"/>
    </row>
    <row r="77" s="4" customFormat="1" ht="35" customHeight="1" spans="1:11">
      <c r="A77" s="30">
        <v>1</v>
      </c>
      <c r="B77" s="48" t="s">
        <v>78</v>
      </c>
      <c r="C77" s="34"/>
      <c r="D77" s="34"/>
      <c r="E77" s="34"/>
      <c r="F77" s="34">
        <f>((I77-1000)*(78.1-30.1)/2000+30.1)*0.5</f>
        <v>33.653184224</v>
      </c>
      <c r="G77" s="49">
        <f t="shared" si="32"/>
        <v>33.653184224</v>
      </c>
      <c r="H77" s="34" t="s">
        <v>16</v>
      </c>
      <c r="I77" s="34">
        <f>G4</f>
        <v>2550.265352</v>
      </c>
      <c r="J77" s="62">
        <f>F77/I77</f>
        <v>0.0131959539808703</v>
      </c>
      <c r="K77" s="20"/>
    </row>
    <row r="78" s="3" customFormat="1" ht="35" customHeight="1" spans="1:11">
      <c r="A78" s="30">
        <v>2</v>
      </c>
      <c r="B78" s="48" t="s">
        <v>79</v>
      </c>
      <c r="C78" s="34"/>
      <c r="D78" s="34"/>
      <c r="E78" s="34"/>
      <c r="F78" s="34">
        <f>((I78-1000)*0.35%+2.75+2.8+1)*0.9</f>
        <v>10.7783358588</v>
      </c>
      <c r="G78" s="49">
        <f t="shared" si="32"/>
        <v>10.7783358588</v>
      </c>
      <c r="H78" s="34" t="s">
        <v>16</v>
      </c>
      <c r="I78" s="34">
        <f>I77</f>
        <v>2550.265352</v>
      </c>
      <c r="J78" s="62">
        <f>F78/I78</f>
        <v>0.00422635858278327</v>
      </c>
      <c r="K78" s="20"/>
    </row>
    <row r="79" s="3" customFormat="1" ht="35" customHeight="1" spans="1:11">
      <c r="A79" s="30">
        <v>3</v>
      </c>
      <c r="B79" s="48" t="s">
        <v>80</v>
      </c>
      <c r="C79" s="34"/>
      <c r="D79" s="34"/>
      <c r="E79" s="34"/>
      <c r="F79" s="34">
        <f t="shared" ref="F79:F81" si="33">G79</f>
        <v>63.7566338</v>
      </c>
      <c r="G79" s="49">
        <f t="shared" ref="G79:G81" si="34">I79*J79</f>
        <v>63.7566338</v>
      </c>
      <c r="H79" s="34" t="s">
        <v>16</v>
      </c>
      <c r="I79" s="34">
        <f>I77</f>
        <v>2550.265352</v>
      </c>
      <c r="J79" s="62">
        <v>0.025</v>
      </c>
      <c r="K79" s="20"/>
    </row>
    <row r="80" s="3" customFormat="1" ht="35" customHeight="1" spans="1:11">
      <c r="A80" s="30">
        <v>4</v>
      </c>
      <c r="B80" s="48" t="s">
        <v>81</v>
      </c>
      <c r="C80" s="34"/>
      <c r="D80" s="34"/>
      <c r="E80" s="34"/>
      <c r="F80" s="34">
        <f t="shared" si="33"/>
        <v>12.75132676</v>
      </c>
      <c r="G80" s="49">
        <f t="shared" si="34"/>
        <v>12.75132676</v>
      </c>
      <c r="H80" s="34" t="s">
        <v>16</v>
      </c>
      <c r="I80" s="34">
        <f>I79</f>
        <v>2550.265352</v>
      </c>
      <c r="J80" s="62">
        <v>0.005</v>
      </c>
      <c r="K80" s="20"/>
    </row>
    <row r="81" s="3" customFormat="1" ht="35" customHeight="1" spans="1:11">
      <c r="A81" s="30">
        <v>5</v>
      </c>
      <c r="B81" s="48" t="s">
        <v>82</v>
      </c>
      <c r="C81" s="34"/>
      <c r="D81" s="34"/>
      <c r="E81" s="34"/>
      <c r="F81" s="34">
        <f t="shared" si="33"/>
        <v>5.100530704</v>
      </c>
      <c r="G81" s="49">
        <f t="shared" si="34"/>
        <v>5.100530704</v>
      </c>
      <c r="H81" s="34" t="s">
        <v>16</v>
      </c>
      <c r="I81" s="34">
        <f>I79</f>
        <v>2550.265352</v>
      </c>
      <c r="J81" s="62">
        <v>0.002</v>
      </c>
      <c r="K81" s="20"/>
    </row>
    <row r="82" s="3" customFormat="1" ht="35" customHeight="1" spans="1:11">
      <c r="A82" s="30">
        <v>6</v>
      </c>
      <c r="B82" s="48" t="s">
        <v>83</v>
      </c>
      <c r="C82" s="34"/>
      <c r="D82" s="34"/>
      <c r="E82" s="34"/>
      <c r="F82" s="34">
        <f>I82*J82*0.9</f>
        <v>12.39428961072</v>
      </c>
      <c r="G82" s="49">
        <f t="shared" ref="G82:G84" si="35">F82</f>
        <v>12.39428961072</v>
      </c>
      <c r="H82" s="34" t="s">
        <v>16</v>
      </c>
      <c r="I82" s="34">
        <f>I77</f>
        <v>2550.265352</v>
      </c>
      <c r="J82" s="62">
        <v>0.0054</v>
      </c>
      <c r="K82" s="20"/>
    </row>
    <row r="83" s="3" customFormat="1" ht="35" customHeight="1" spans="1:11">
      <c r="A83" s="30">
        <v>7</v>
      </c>
      <c r="B83" s="48" t="s">
        <v>84</v>
      </c>
      <c r="C83" s="34"/>
      <c r="D83" s="34"/>
      <c r="E83" s="34"/>
      <c r="F83" s="34">
        <f>I83*J83*0.9</f>
        <v>8.26285974048</v>
      </c>
      <c r="G83" s="49">
        <f t="shared" si="35"/>
        <v>8.26285974048</v>
      </c>
      <c r="H83" s="34" t="s">
        <v>16</v>
      </c>
      <c r="I83" s="34">
        <f>I77</f>
        <v>2550.265352</v>
      </c>
      <c r="J83" s="62">
        <v>0.0036</v>
      </c>
      <c r="K83" s="20"/>
    </row>
    <row r="84" s="4" customFormat="1" ht="35" customHeight="1" spans="1:11">
      <c r="A84" s="30">
        <v>8</v>
      </c>
      <c r="B84" s="48" t="s">
        <v>85</v>
      </c>
      <c r="C84" s="34"/>
      <c r="D84" s="34"/>
      <c r="E84" s="34"/>
      <c r="F84" s="34">
        <f>I84*J84</f>
        <v>4.9730174364</v>
      </c>
      <c r="G84" s="49">
        <f t="shared" si="35"/>
        <v>4.9730174364</v>
      </c>
      <c r="H84" s="34" t="s">
        <v>16</v>
      </c>
      <c r="I84" s="34">
        <f>G79+G80</f>
        <v>76.50796056</v>
      </c>
      <c r="J84" s="62">
        <v>0.065</v>
      </c>
      <c r="K84" s="20"/>
    </row>
    <row r="85" s="4" customFormat="1" ht="35" customHeight="1" spans="1:11">
      <c r="A85" s="30">
        <v>9</v>
      </c>
      <c r="B85" s="35" t="s">
        <v>86</v>
      </c>
      <c r="C85" s="34"/>
      <c r="D85" s="34"/>
      <c r="E85" s="34"/>
      <c r="F85" s="34">
        <f>G85</f>
        <v>5.5</v>
      </c>
      <c r="G85" s="49">
        <v>5.5</v>
      </c>
      <c r="H85" s="34" t="s">
        <v>16</v>
      </c>
      <c r="I85" s="34">
        <f>I79</f>
        <v>2550.265352</v>
      </c>
      <c r="J85" s="63">
        <f>G85/I85</f>
        <v>0.00215663832615956</v>
      </c>
      <c r="K85" s="20"/>
    </row>
    <row r="86" s="4" customFormat="1" ht="35" customHeight="1" spans="1:11">
      <c r="A86" s="30">
        <v>10</v>
      </c>
      <c r="B86" s="35" t="s">
        <v>87</v>
      </c>
      <c r="C86" s="34"/>
      <c r="D86" s="34"/>
      <c r="E86" s="34"/>
      <c r="F86" s="34">
        <f>G86</f>
        <v>8</v>
      </c>
      <c r="G86" s="49">
        <v>8</v>
      </c>
      <c r="H86" s="34" t="s">
        <v>16</v>
      </c>
      <c r="I86" s="34"/>
      <c r="J86" s="63"/>
      <c r="K86" s="20"/>
    </row>
    <row r="87" s="4" customFormat="1" ht="35" customHeight="1" spans="1:11">
      <c r="A87" s="50"/>
      <c r="B87" s="35" t="s">
        <v>37</v>
      </c>
      <c r="C87" s="34"/>
      <c r="D87" s="34"/>
      <c r="E87" s="34"/>
      <c r="F87" s="34">
        <f>SUM(F77:F86)</f>
        <v>165.1701781344</v>
      </c>
      <c r="G87" s="34">
        <f>SUM(G77:G86)</f>
        <v>165.1701781344</v>
      </c>
      <c r="H87" s="34"/>
      <c r="I87" s="34"/>
      <c r="J87" s="34"/>
      <c r="K87" s="20"/>
    </row>
    <row r="88" s="3" customFormat="1" ht="35" customHeight="1" spans="1:11">
      <c r="A88" s="50" t="s">
        <v>88</v>
      </c>
      <c r="B88" s="51" t="s">
        <v>89</v>
      </c>
      <c r="C88" s="26"/>
      <c r="D88" s="26"/>
      <c r="E88" s="26"/>
      <c r="F88" s="26">
        <f>I88*J88</f>
        <v>135.77177650672</v>
      </c>
      <c r="G88" s="26">
        <f>F88</f>
        <v>135.77177650672</v>
      </c>
      <c r="H88" s="26" t="s">
        <v>16</v>
      </c>
      <c r="I88" s="26">
        <f>G76+G4</f>
        <v>2715.4355301344</v>
      </c>
      <c r="J88" s="64">
        <v>0.05</v>
      </c>
      <c r="K88" s="20"/>
    </row>
    <row r="89" s="5" customFormat="1" ht="35" customHeight="1" spans="1:11">
      <c r="A89" s="44" t="s">
        <v>90</v>
      </c>
      <c r="B89" s="25" t="s">
        <v>91</v>
      </c>
      <c r="C89" s="26">
        <f>C4</f>
        <v>1093.178</v>
      </c>
      <c r="D89" s="26">
        <f>D4</f>
        <v>987.66362672</v>
      </c>
      <c r="E89" s="26">
        <f>E4</f>
        <v>469.42372528</v>
      </c>
      <c r="F89" s="26">
        <f>G88+G76</f>
        <v>300.94195464112</v>
      </c>
      <c r="G89" s="26">
        <f>C89+D89+E89+F89-0.01</f>
        <v>2851.19730664112</v>
      </c>
      <c r="H89" s="26" t="s">
        <v>16</v>
      </c>
      <c r="I89" s="29"/>
      <c r="J89" s="29"/>
      <c r="K89" s="20"/>
    </row>
    <row r="90" s="6" customFormat="1" ht="35" customHeight="1" spans="1:11">
      <c r="A90" s="44" t="s">
        <v>92</v>
      </c>
      <c r="B90" s="52" t="s">
        <v>93</v>
      </c>
      <c r="C90" s="53">
        <f>C89/G89</f>
        <v>0.383410154552871</v>
      </c>
      <c r="D90" s="53">
        <f>D89/G89</f>
        <v>0.346403114375668</v>
      </c>
      <c r="E90" s="53">
        <f>E89/G89</f>
        <v>0.16464091214824</v>
      </c>
      <c r="F90" s="53">
        <f>F89/G89</f>
        <v>0.105549326221708</v>
      </c>
      <c r="G90" s="53">
        <f>G89/G89</f>
        <v>1</v>
      </c>
      <c r="H90" s="54"/>
      <c r="I90" s="65"/>
      <c r="J90" s="65"/>
      <c r="K90" s="20"/>
    </row>
    <row r="91" ht="21.95" customHeight="1" spans="1:11">
      <c r="A91" s="55"/>
      <c r="B91" s="56"/>
      <c r="C91" s="56"/>
      <c r="D91" s="57"/>
      <c r="E91" s="58"/>
      <c r="F91" s="8"/>
      <c r="G91" s="8"/>
      <c r="H91" s="8"/>
      <c r="K91" s="8"/>
    </row>
    <row r="92" ht="21.95" customHeight="1" spans="1:11">
      <c r="A92" s="55"/>
      <c r="B92" s="56"/>
      <c r="C92" s="56"/>
      <c r="D92" s="57"/>
      <c r="E92" s="58"/>
      <c r="F92" s="59"/>
      <c r="G92" s="59"/>
      <c r="H92" s="60"/>
      <c r="K92" s="8"/>
    </row>
    <row r="93" ht="21.95" customHeight="1" spans="1:11">
      <c r="A93" s="55"/>
      <c r="B93" s="56"/>
      <c r="C93" s="56"/>
      <c r="D93" s="57"/>
      <c r="E93" s="58"/>
      <c r="F93" s="61"/>
      <c r="G93" s="59"/>
      <c r="H93" s="60"/>
      <c r="K93" s="8"/>
    </row>
    <row r="94" ht="21.95" customHeight="1" spans="1:8">
      <c r="A94" s="55"/>
      <c r="B94" s="56"/>
      <c r="C94" s="56"/>
      <c r="D94" s="57"/>
      <c r="E94" s="58"/>
      <c r="F94" s="61"/>
      <c r="G94" s="59"/>
      <c r="H94" s="60"/>
    </row>
    <row r="95" ht="21.95" customHeight="1" spans="1:8">
      <c r="A95" s="55"/>
      <c r="B95" s="56"/>
      <c r="C95" s="56"/>
      <c r="D95" s="57"/>
      <c r="E95" s="58"/>
      <c r="F95" s="61"/>
      <c r="G95" s="59"/>
      <c r="H95" s="60"/>
    </row>
    <row r="96" ht="21.95" customHeight="1" spans="1:8">
      <c r="A96" s="55"/>
      <c r="B96" s="56"/>
      <c r="C96" s="56"/>
      <c r="D96" s="57"/>
      <c r="E96" s="58"/>
      <c r="F96" s="61"/>
      <c r="G96" s="59"/>
      <c r="H96" s="60"/>
    </row>
    <row r="97" ht="21.95" customHeight="1" spans="1:8">
      <c r="A97" s="55"/>
      <c r="B97" s="56"/>
      <c r="C97" s="56"/>
      <c r="D97" s="57"/>
      <c r="E97" s="58"/>
      <c r="F97" s="61"/>
      <c r="G97" s="59"/>
      <c r="H97" s="60"/>
    </row>
    <row r="98" ht="21.95" customHeight="1" spans="1:8">
      <c r="A98" s="55"/>
      <c r="B98" s="56"/>
      <c r="C98" s="56"/>
      <c r="D98" s="57"/>
      <c r="E98" s="58"/>
      <c r="F98" s="61"/>
      <c r="G98" s="59"/>
      <c r="H98" s="60"/>
    </row>
    <row r="99" ht="21.95" customHeight="1" spans="1:8">
      <c r="A99" s="55"/>
      <c r="B99" s="56"/>
      <c r="C99" s="56"/>
      <c r="D99" s="57"/>
      <c r="E99" s="58"/>
      <c r="F99" s="61"/>
      <c r="G99" s="59"/>
      <c r="H99" s="60"/>
    </row>
    <row r="100" ht="21.95" customHeight="1" spans="1:8">
      <c r="A100" s="55"/>
      <c r="B100" s="56"/>
      <c r="C100" s="56"/>
      <c r="D100" s="57"/>
      <c r="E100" s="58"/>
      <c r="F100" s="61"/>
      <c r="G100" s="59"/>
      <c r="H100" s="60"/>
    </row>
    <row r="101" ht="21.95" customHeight="1" spans="1:8">
      <c r="A101" s="55"/>
      <c r="B101" s="56"/>
      <c r="C101" s="56"/>
      <c r="D101" s="57"/>
      <c r="E101" s="58"/>
      <c r="F101" s="61"/>
      <c r="G101" s="59"/>
      <c r="H101" s="60"/>
    </row>
    <row r="102" ht="21.95" customHeight="1" spans="1:8">
      <c r="A102" s="55"/>
      <c r="B102" s="56"/>
      <c r="C102" s="56"/>
      <c r="D102" s="57"/>
      <c r="E102" s="58"/>
      <c r="F102" s="61"/>
      <c r="G102" s="59"/>
      <c r="H102" s="60"/>
    </row>
    <row r="103" ht="21.95" customHeight="1" spans="1:8">
      <c r="A103" s="55"/>
      <c r="B103" s="56"/>
      <c r="C103" s="56"/>
      <c r="D103" s="57"/>
      <c r="E103" s="58"/>
      <c r="F103" s="61"/>
      <c r="G103" s="59"/>
      <c r="H103" s="60"/>
    </row>
    <row r="104" ht="21.95" customHeight="1" spans="1:8">
      <c r="A104" s="55"/>
      <c r="B104" s="56"/>
      <c r="C104" s="56"/>
      <c r="D104" s="57"/>
      <c r="E104" s="58"/>
      <c r="F104" s="61"/>
      <c r="G104" s="59"/>
      <c r="H104" s="60"/>
    </row>
    <row r="105" ht="21.95" customHeight="1" spans="1:8">
      <c r="A105" s="55"/>
      <c r="B105" s="56"/>
      <c r="C105" s="56"/>
      <c r="D105" s="57"/>
      <c r="E105" s="58"/>
      <c r="F105" s="61"/>
      <c r="G105" s="59"/>
      <c r="H105" s="60"/>
    </row>
    <row r="106" ht="21.95" customHeight="1" spans="1:8">
      <c r="A106" s="55"/>
      <c r="B106" s="56"/>
      <c r="C106" s="56"/>
      <c r="D106" s="57"/>
      <c r="E106" s="58"/>
      <c r="F106" s="61"/>
      <c r="G106" s="59"/>
      <c r="H106" s="60"/>
    </row>
    <row r="107" ht="21.95" customHeight="1" spans="1:8">
      <c r="A107" s="55"/>
      <c r="B107" s="56"/>
      <c r="C107" s="56"/>
      <c r="D107" s="57"/>
      <c r="E107" s="58"/>
      <c r="F107" s="61"/>
      <c r="G107" s="59"/>
      <c r="H107" s="60"/>
    </row>
    <row r="108" ht="21.95" customHeight="1" spans="1:8">
      <c r="A108" s="55"/>
      <c r="B108" s="56"/>
      <c r="C108" s="56"/>
      <c r="D108" s="57"/>
      <c r="E108" s="58"/>
      <c r="F108" s="61"/>
      <c r="G108" s="59"/>
      <c r="H108" s="60"/>
    </row>
    <row r="109" ht="21.95" customHeight="1" spans="1:8">
      <c r="A109" s="55"/>
      <c r="B109" s="56"/>
      <c r="C109" s="56"/>
      <c r="D109" s="57"/>
      <c r="E109" s="58"/>
      <c r="F109" s="61"/>
      <c r="G109" s="59"/>
      <c r="H109" s="60"/>
    </row>
    <row r="110" ht="21.95" customHeight="1" spans="1:8">
      <c r="A110" s="55"/>
      <c r="B110" s="56"/>
      <c r="C110" s="56"/>
      <c r="D110" s="57"/>
      <c r="E110" s="58"/>
      <c r="F110" s="61"/>
      <c r="G110" s="59"/>
      <c r="H110" s="60"/>
    </row>
    <row r="111" ht="21.95" customHeight="1" spans="1:8">
      <c r="A111" s="55"/>
      <c r="B111" s="56"/>
      <c r="C111" s="56"/>
      <c r="D111" s="57"/>
      <c r="E111" s="58"/>
      <c r="F111" s="61"/>
      <c r="G111" s="59"/>
      <c r="H111" s="60"/>
    </row>
    <row r="112" ht="21.95" customHeight="1" spans="1:8">
      <c r="A112" s="55"/>
      <c r="B112" s="56"/>
      <c r="C112" s="56"/>
      <c r="D112" s="57"/>
      <c r="E112" s="58"/>
      <c r="F112" s="61"/>
      <c r="G112" s="59"/>
      <c r="H112" s="60"/>
    </row>
    <row r="113" ht="21.95" customHeight="1" spans="1:8">
      <c r="A113" s="55"/>
      <c r="B113" s="56"/>
      <c r="C113" s="56"/>
      <c r="D113" s="57"/>
      <c r="E113" s="58"/>
      <c r="F113" s="61"/>
      <c r="G113" s="59"/>
      <c r="H113" s="60"/>
    </row>
    <row r="114" ht="21.95" customHeight="1" spans="1:8">
      <c r="A114" s="55"/>
      <c r="B114" s="56"/>
      <c r="C114" s="56"/>
      <c r="D114" s="57"/>
      <c r="E114" s="58"/>
      <c r="F114" s="61"/>
      <c r="G114" s="59"/>
      <c r="H114" s="60"/>
    </row>
    <row r="115" ht="21.95" customHeight="1" spans="1:8">
      <c r="A115" s="55"/>
      <c r="B115" s="56"/>
      <c r="C115" s="56"/>
      <c r="D115" s="57"/>
      <c r="E115" s="58"/>
      <c r="F115" s="61"/>
      <c r="G115" s="59"/>
      <c r="H115" s="60"/>
    </row>
    <row r="116" ht="21.95" customHeight="1" spans="1:8">
      <c r="A116" s="55"/>
      <c r="B116" s="56"/>
      <c r="C116" s="56"/>
      <c r="D116" s="57"/>
      <c r="E116" s="58"/>
      <c r="F116" s="61"/>
      <c r="G116" s="59"/>
      <c r="H116" s="60"/>
    </row>
    <row r="117" ht="21.95" customHeight="1" spans="1:8">
      <c r="A117" s="55"/>
      <c r="B117" s="56"/>
      <c r="C117" s="56"/>
      <c r="D117" s="57"/>
      <c r="E117" s="58"/>
      <c r="F117" s="61"/>
      <c r="G117" s="59"/>
      <c r="H117" s="60"/>
    </row>
    <row r="118" ht="21.95" customHeight="1" spans="1:8">
      <c r="A118" s="55"/>
      <c r="B118" s="56"/>
      <c r="C118" s="56"/>
      <c r="D118" s="57"/>
      <c r="E118" s="58"/>
      <c r="F118" s="61"/>
      <c r="G118" s="59"/>
      <c r="H118" s="60"/>
    </row>
    <row r="119" ht="21.95" customHeight="1" spans="1:8">
      <c r="A119" s="55"/>
      <c r="B119" s="56"/>
      <c r="C119" s="56"/>
      <c r="D119" s="57"/>
      <c r="E119" s="58"/>
      <c r="F119" s="61"/>
      <c r="G119" s="59"/>
      <c r="H119" s="60"/>
    </row>
    <row r="120" ht="21.95" customHeight="1" spans="1:8">
      <c r="A120" s="55"/>
      <c r="B120" s="56"/>
      <c r="C120" s="56"/>
      <c r="D120" s="57"/>
      <c r="E120" s="58"/>
      <c r="F120" s="61"/>
      <c r="G120" s="59"/>
      <c r="H120" s="60"/>
    </row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  <row r="159" ht="21.95" customHeight="1"/>
    <row r="160" ht="21.95" customHeight="1"/>
  </sheetData>
  <autoFilter ref="A1:K90"/>
  <mergeCells count="6">
    <mergeCell ref="A1:K1"/>
    <mergeCell ref="C2:G2"/>
    <mergeCell ref="H2:J2"/>
    <mergeCell ref="A2:A3"/>
    <mergeCell ref="B2:B3"/>
    <mergeCell ref="K2:K3"/>
  </mergeCells>
  <printOptions horizontalCentered="1"/>
  <pageMargins left="0.629166666666667" right="0.590277777777778" top="0.786805555555556" bottom="0.94375" header="0.511805555555556" footer="0.511805555555556"/>
  <pageSetup paperSize="9" scale="80" firstPageNumber="5" orientation="portrait" useFirstPageNumber="1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Administrator</cp:lastModifiedBy>
  <cp:revision>1</cp:revision>
  <dcterms:created xsi:type="dcterms:W3CDTF">2003-04-14T03:55:00Z</dcterms:created>
  <cp:lastPrinted>2015-03-17T07:26:00Z</cp:lastPrinted>
  <dcterms:modified xsi:type="dcterms:W3CDTF">2021-06-25T03:18:11Z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16FCA017D12341A1A38A96F3346D5DB5</vt:lpwstr>
  </property>
</Properties>
</file>